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ms-excel.template.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3.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5.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6.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7.xml" ContentType="application/vnd.openxmlformats-officedocument.drawing+xml"/>
  <Override PartName="/xl/ctrlProps/ctrlProp222.xml" ContentType="application/vnd.ms-excel.controlproperties+xml"/>
  <Override PartName="/xl/charts/chart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trlProps/ctrlProp223.xml" ContentType="application/vnd.ms-excel.controlproperties+xml"/>
  <Override PartName="/xl/charts/chart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harts/chart3.xml" ContentType="application/vnd.openxmlformats-officedocument.drawingml.chart+xml"/>
  <Override PartName="/xl/drawings/drawing12.xml" ContentType="application/vnd.openxmlformats-officedocument.drawing+xml"/>
  <Override PartName="/xl/ctrlProps/ctrlProp229.xml" ContentType="application/vnd.ms-excel.controlproperti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trlProps/ctrlProp230.xml" ContentType="application/vnd.ms-excel.controlproperties+xml"/>
  <Override PartName="/xl/ctrlProps/ctrlProp231.xml" ContentType="application/vnd.ms-excel.controlproperties+xml"/>
  <Override PartName="/xl/drawings/drawing15.xml" ContentType="application/vnd.openxmlformats-officedocument.drawing+xml"/>
  <Override PartName="/xl/ctrlProps/ctrlProp232.xml" ContentType="application/vnd.ms-excel.controlproperties+xml"/>
  <Override PartName="/xl/drawings/drawing16.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17.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18.xml" ContentType="application/vnd.openxmlformats-officedocument.drawing+xml"/>
  <Override PartName="/xl/ctrlProps/ctrlProp254.xml" ContentType="application/vnd.ms-excel.controlproperties+xml"/>
  <Override PartName="/xl/ctrlProps/ctrlProp255.xml" ContentType="application/vnd.ms-excel.controlproperties+xml"/>
  <Override PartName="/xl/drawings/drawing19.xml" ContentType="application/vnd.openxmlformats-officedocument.drawing+xml"/>
  <Override PartName="/xl/ctrlProps/ctrlProp256.xml" ContentType="application/vnd.ms-excel.controlproperties+xml"/>
  <Override PartName="/xl/drawings/drawing20.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harts/chart5.xml" ContentType="application/vnd.openxmlformats-officedocument.drawingml.chart+xml"/>
  <Override PartName="/xl/drawings/drawing21.xml" ContentType="application/vnd.openxmlformats-officedocument.drawing+xml"/>
  <Override PartName="/xl/ctrlProps/ctrlProp259.xml" ContentType="application/vnd.ms-excel.controlproperties+xml"/>
  <Override PartName="/xl/drawings/drawing22.xml" ContentType="application/vnd.openxmlformats-officedocument.drawing+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drawings/drawing23.xml" ContentType="application/vnd.openxmlformats-officedocument.drawing+xml"/>
  <Override PartName="/xl/embeddings/oleObject1.bin" ContentType="application/vnd.openxmlformats-officedocument.oleObject"/>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24.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drawings/drawing25.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26.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harts/chart6.xml" ContentType="application/vnd.openxmlformats-officedocument.drawingml.chart+xml"/>
  <Override PartName="/xl/drawings/drawing27.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28.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drawings/drawing29.xml" ContentType="application/vnd.openxmlformats-officedocument.drawing+xml"/>
  <Override PartName="/xl/charts/chart7.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codeName="{E757BCB4-07E6-AE0B-56E0-F0EEF7A6E26C}"/>
  <workbookPr showInkAnnotation="0" updateLinks="never" codeName="ThisWorkbook"/>
  <mc:AlternateContent xmlns:mc="http://schemas.openxmlformats.org/markup-compatibility/2006">
    <mc:Choice Requires="x15">
      <x15ac:absPath xmlns:x15ac="http://schemas.microsoft.com/office/spreadsheetml/2010/11/ac" url="C:\Users\Alain\Dropbox\Anorexie Mentale\Docs à télécharger\"/>
    </mc:Choice>
  </mc:AlternateContent>
  <xr:revisionPtr revIDLastSave="0" documentId="13_ncr:1_{ED85B7F2-A463-4F77-A5A7-D5336D930209}" xr6:coauthVersionLast="47" xr6:coauthVersionMax="47" xr10:uidLastSave="{00000000-0000-0000-0000-000000000000}"/>
  <bookViews>
    <workbookView showHorizontalScroll="0" showVerticalScroll="0" showSheetTabs="0" xWindow="28680" yWindow="-120" windowWidth="29040" windowHeight="15840" tabRatio="776" xr2:uid="{00000000-000D-0000-FFFF-FFFF00000000}"/>
  </bookViews>
  <sheets>
    <sheet name="Accueil" sheetId="15" r:id="rId1"/>
    <sheet name="socio" sheetId="32" r:id="rId2"/>
    <sheet name="TestsAN" sheetId="40" r:id="rId3"/>
    <sheet name="TestsBN" sheetId="4" r:id="rId4"/>
    <sheet name="Facteurs" sheetId="41" r:id="rId5"/>
    <sheet name="RAADS" sheetId="60" r:id="rId6"/>
    <sheet name="GraphTCA" sheetId="57" r:id="rId7"/>
    <sheet name="Incidence" sheetId="56" r:id="rId8"/>
    <sheet name="Courbe In" sheetId="6" r:id="rId9"/>
    <sheet name="GraphIMC" sheetId="58" r:id="rId10"/>
    <sheet name="Courbe IMC" sheetId="27" r:id="rId11"/>
    <sheet name="Synthèse" sheetId="5" r:id="rId12"/>
    <sheet name="recueil" sheetId="3" r:id="rId13"/>
    <sheet name="Archive1" sheetId="17" r:id="rId14"/>
    <sheet name="Archive2" sheetId="18" r:id="rId15"/>
    <sheet name="Archive3" sheetId="19" r:id="rId16"/>
    <sheet name="Archive4" sheetId="20" r:id="rId17"/>
    <sheet name="Archive5" sheetId="21" r:id="rId18"/>
    <sheet name="listes" sheetId="2" r:id="rId19"/>
    <sheet name="IMC d'équilibre" sheetId="8" r:id="rId20"/>
    <sheet name="crises" sheetId="25" r:id="rId21"/>
    <sheet name="Genogramme" sheetId="30" r:id="rId22"/>
    <sheet name="SilhouettesF" sheetId="33" r:id="rId23"/>
    <sheet name="SilhouettesH" sheetId="34" r:id="rId24"/>
    <sheet name="SilhFilles" sheetId="53" r:id="rId25"/>
    <sheet name="SilhGarcons" sheetId="54" r:id="rId26"/>
    <sheet name="Feuil1" sheetId="47" r:id="rId27"/>
    <sheet name="Saisie Pds" sheetId="55" r:id="rId28"/>
    <sheet name="IDC" sheetId="48" r:id="rId29"/>
    <sheet name="Graph IDC" sheetId="59" r:id="rId30"/>
  </sheets>
  <definedNames>
    <definedName name="_xlnm._FilterDatabase" localSheetId="10" hidden="1">'Courbe IMC'!$ET$67:$ET$187</definedName>
    <definedName name="Print_Area" localSheetId="10">'Courbe IMC'!#REF!</definedName>
    <definedName name="Print_Area" localSheetId="8">'Courbe In'!$C$1:$S$29</definedName>
    <definedName name="Print_Area" localSheetId="26">Feuil1!$A$1:$X$63</definedName>
    <definedName name="Print_Area" localSheetId="21">Genogramme!$A$1:$J$34</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1" i="3" l="1"/>
  <c r="B7" i="55"/>
  <c r="F43" i="3"/>
  <c r="C43" i="3"/>
  <c r="A6" i="6"/>
  <c r="F20" i="3"/>
  <c r="F21" i="3"/>
  <c r="F22" i="3"/>
  <c r="F23" i="3"/>
  <c r="F24" i="3"/>
  <c r="F25" i="3"/>
  <c r="F26" i="3"/>
  <c r="F27" i="3"/>
  <c r="F28" i="3"/>
  <c r="F29" i="3"/>
  <c r="F30" i="3"/>
  <c r="F31" i="3"/>
  <c r="F32" i="3"/>
  <c r="F33" i="3"/>
  <c r="F34" i="3"/>
  <c r="F35" i="3"/>
  <c r="F36" i="3"/>
  <c r="F37" i="3"/>
  <c r="F38" i="3"/>
  <c r="F39" i="3"/>
  <c r="F40" i="3"/>
  <c r="F41" i="3"/>
  <c r="F19" i="3"/>
  <c r="B10" i="6"/>
  <c r="R26" i="15"/>
  <c r="R23" i="15"/>
  <c r="R20" i="15"/>
  <c r="R17" i="15"/>
  <c r="R14" i="15"/>
  <c r="F17" i="3"/>
  <c r="F18" i="3"/>
  <c r="F16" i="3"/>
  <c r="C41" i="3"/>
  <c r="C40" i="3"/>
  <c r="C39" i="3"/>
  <c r="C38" i="3"/>
  <c r="C37" i="3"/>
  <c r="C36" i="3"/>
  <c r="C35" i="3"/>
  <c r="C24" i="3"/>
  <c r="C23" i="3"/>
  <c r="C22" i="3"/>
  <c r="C21" i="3"/>
  <c r="C20" i="3"/>
  <c r="C19" i="3"/>
  <c r="C18" i="3"/>
  <c r="C17" i="3"/>
  <c r="C34" i="3"/>
  <c r="C33" i="3"/>
  <c r="C32" i="3"/>
  <c r="C31" i="3"/>
  <c r="C30" i="3"/>
  <c r="C29" i="3"/>
  <c r="C28" i="3"/>
  <c r="C27" i="3"/>
  <c r="C26" i="3"/>
  <c r="C16" i="3"/>
  <c r="C25" i="3"/>
  <c r="C51" i="3" l="1"/>
  <c r="K8" i="55"/>
  <c r="K9" i="55"/>
  <c r="K10" i="55"/>
  <c r="K11" i="55"/>
  <c r="K12" i="55"/>
  <c r="K13" i="55"/>
  <c r="K14" i="55"/>
  <c r="K15" i="55"/>
  <c r="K16" i="55"/>
  <c r="K17" i="55"/>
  <c r="K18" i="55"/>
  <c r="K19" i="55"/>
  <c r="K20" i="55"/>
  <c r="K21" i="55"/>
  <c r="K22" i="55"/>
  <c r="K23" i="55"/>
  <c r="K24" i="55"/>
  <c r="K25" i="55"/>
  <c r="K26" i="55"/>
  <c r="K27" i="55"/>
  <c r="K28" i="55"/>
  <c r="K29" i="55"/>
  <c r="K30" i="55"/>
  <c r="K31" i="55"/>
  <c r="K32" i="55"/>
  <c r="K33" i="55"/>
  <c r="K34" i="55"/>
  <c r="K35" i="55"/>
  <c r="K36" i="55"/>
  <c r="K37" i="55"/>
  <c r="K38" i="55"/>
  <c r="K39" i="55"/>
  <c r="K40" i="55"/>
  <c r="K41" i="55"/>
  <c r="K42" i="55"/>
  <c r="K43" i="55"/>
  <c r="K44" i="55"/>
  <c r="K45" i="55"/>
  <c r="K46" i="55"/>
  <c r="K47" i="55"/>
  <c r="K48" i="55"/>
  <c r="K49" i="55"/>
  <c r="K50" i="55"/>
  <c r="K51" i="55"/>
  <c r="K52" i="55"/>
  <c r="K53" i="55"/>
  <c r="K54" i="55"/>
  <c r="K55" i="55"/>
  <c r="K56" i="55"/>
  <c r="K57" i="55"/>
  <c r="K58" i="55"/>
  <c r="K59" i="55"/>
  <c r="K60" i="55"/>
  <c r="K61" i="55"/>
  <c r="K62" i="55"/>
  <c r="K63" i="55"/>
  <c r="K64" i="55"/>
  <c r="K65" i="55"/>
  <c r="K66" i="55"/>
  <c r="K67" i="55"/>
  <c r="K68" i="55"/>
  <c r="K69" i="55"/>
  <c r="K70" i="55"/>
  <c r="K71" i="55"/>
  <c r="K72" i="55"/>
  <c r="K73" i="55"/>
  <c r="K74" i="55"/>
  <c r="K75" i="55"/>
  <c r="K76" i="55"/>
  <c r="K77" i="55"/>
  <c r="K78" i="55"/>
  <c r="K79" i="55"/>
  <c r="K80" i="55"/>
  <c r="K81" i="55"/>
  <c r="K82" i="55"/>
  <c r="K83" i="55"/>
  <c r="K84" i="55"/>
  <c r="K85" i="55"/>
  <c r="K86" i="55"/>
  <c r="K87" i="55"/>
  <c r="K88" i="55"/>
  <c r="K89" i="55"/>
  <c r="K90" i="55"/>
  <c r="K91" i="55"/>
  <c r="K92" i="55"/>
  <c r="K93" i="55"/>
  <c r="K94" i="55"/>
  <c r="K95" i="55"/>
  <c r="K96" i="55"/>
  <c r="K97" i="55"/>
  <c r="K98" i="55"/>
  <c r="K99" i="55"/>
  <c r="K100" i="55"/>
  <c r="K101" i="55"/>
  <c r="K102" i="55"/>
  <c r="K103" i="55"/>
  <c r="K104" i="55"/>
  <c r="K105" i="55"/>
  <c r="K106" i="55"/>
  <c r="K107" i="55"/>
  <c r="K108" i="55"/>
  <c r="K109" i="55"/>
  <c r="K110" i="55"/>
  <c r="K111" i="55"/>
  <c r="K112" i="55"/>
  <c r="K113" i="55"/>
  <c r="K114" i="55"/>
  <c r="K115" i="55"/>
  <c r="K116" i="55"/>
  <c r="K117" i="55"/>
  <c r="K118" i="55"/>
  <c r="K119" i="55"/>
  <c r="K120" i="55"/>
  <c r="K121" i="55"/>
  <c r="K122" i="55"/>
  <c r="K123" i="55"/>
  <c r="K124" i="55"/>
  <c r="K125" i="55"/>
  <c r="K126" i="55"/>
  <c r="K127" i="55"/>
  <c r="K128" i="55"/>
  <c r="K129" i="55"/>
  <c r="K130" i="55"/>
  <c r="K131" i="55"/>
  <c r="K132" i="55"/>
  <c r="K133" i="55"/>
  <c r="K134" i="55"/>
  <c r="K135" i="55"/>
  <c r="K136" i="55"/>
  <c r="K137" i="55"/>
  <c r="K138" i="55"/>
  <c r="K139" i="55"/>
  <c r="K140" i="55"/>
  <c r="K141" i="55"/>
  <c r="K142" i="55"/>
  <c r="K143" i="55"/>
  <c r="K144" i="55"/>
  <c r="K145" i="55"/>
  <c r="K146" i="55"/>
  <c r="K147" i="55"/>
  <c r="K148" i="55"/>
  <c r="K149" i="55"/>
  <c r="K150" i="55"/>
  <c r="K151" i="55"/>
  <c r="K152" i="55"/>
  <c r="K153" i="55"/>
  <c r="K154" i="55"/>
  <c r="K155" i="55"/>
  <c r="K156" i="55"/>
  <c r="K157" i="55"/>
  <c r="K158" i="55"/>
  <c r="K159" i="55"/>
  <c r="K160" i="55"/>
  <c r="K161" i="55"/>
  <c r="K162" i="55"/>
  <c r="K163" i="55"/>
  <c r="K164" i="55"/>
  <c r="K165" i="55"/>
  <c r="K166" i="55"/>
  <c r="K167" i="55"/>
  <c r="K168" i="55"/>
  <c r="K169" i="55"/>
  <c r="K170" i="55"/>
  <c r="K171" i="55"/>
  <c r="K172" i="55"/>
  <c r="K173" i="55"/>
  <c r="K174" i="55"/>
  <c r="K175" i="55"/>
  <c r="K176" i="55"/>
  <c r="K177" i="55"/>
  <c r="K178" i="55"/>
  <c r="K179" i="55"/>
  <c r="K180" i="55"/>
  <c r="K181" i="55"/>
  <c r="K182" i="55"/>
  <c r="K183" i="55"/>
  <c r="K184" i="55"/>
  <c r="K185" i="55"/>
  <c r="K186" i="55"/>
  <c r="K187" i="55"/>
  <c r="K188" i="55"/>
  <c r="K189" i="55"/>
  <c r="K190" i="55"/>
  <c r="K191" i="55"/>
  <c r="K192" i="55"/>
  <c r="K193" i="55"/>
  <c r="K194" i="55"/>
  <c r="K195" i="55"/>
  <c r="K196" i="55"/>
  <c r="K197" i="55"/>
  <c r="K198" i="55"/>
  <c r="K199" i="55"/>
  <c r="K200" i="55"/>
  <c r="K201" i="55"/>
  <c r="K202" i="55"/>
  <c r="K203" i="55"/>
  <c r="K204" i="55"/>
  <c r="K205" i="55"/>
  <c r="K206" i="55"/>
  <c r="K207" i="55"/>
  <c r="K208" i="55"/>
  <c r="K209" i="55"/>
  <c r="K210" i="55"/>
  <c r="K211" i="55"/>
  <c r="K212" i="55"/>
  <c r="K213" i="55"/>
  <c r="K214" i="55"/>
  <c r="K215" i="55"/>
  <c r="K216" i="55"/>
  <c r="K217" i="55"/>
  <c r="K218" i="55"/>
  <c r="K219" i="55"/>
  <c r="K220" i="55"/>
  <c r="K221" i="55"/>
  <c r="K222" i="55"/>
  <c r="K223" i="55"/>
  <c r="K224" i="55"/>
  <c r="K225" i="55"/>
  <c r="K226" i="55"/>
  <c r="K227" i="55"/>
  <c r="K228" i="55"/>
  <c r="K229" i="55"/>
  <c r="K230" i="55"/>
  <c r="K231" i="55"/>
  <c r="K232" i="55"/>
  <c r="K233" i="55"/>
  <c r="K234" i="55"/>
  <c r="K235" i="55"/>
  <c r="K236" i="55"/>
  <c r="K237" i="55"/>
  <c r="K238" i="55"/>
  <c r="K239" i="55"/>
  <c r="K240" i="55"/>
  <c r="K241" i="55"/>
  <c r="K242" i="55"/>
  <c r="K243" i="55"/>
  <c r="K244" i="55"/>
  <c r="K245" i="55"/>
  <c r="K246" i="55"/>
  <c r="K247" i="55"/>
  <c r="K248" i="55"/>
  <c r="K249" i="55"/>
  <c r="K250" i="55"/>
  <c r="K251" i="55"/>
  <c r="K252" i="55"/>
  <c r="K253" i="55"/>
  <c r="K254" i="55"/>
  <c r="K255" i="55"/>
  <c r="K256" i="55"/>
  <c r="K257" i="55"/>
  <c r="K258" i="55"/>
  <c r="K259" i="55"/>
  <c r="K260" i="55"/>
  <c r="K261" i="55"/>
  <c r="K262" i="55"/>
  <c r="K263" i="55"/>
  <c r="K264" i="55"/>
  <c r="K265" i="55"/>
  <c r="K266" i="55"/>
  <c r="K267" i="55"/>
  <c r="K268" i="55"/>
  <c r="K269" i="55"/>
  <c r="K270" i="55"/>
  <c r="K271" i="55"/>
  <c r="K272" i="55"/>
  <c r="K273" i="55"/>
  <c r="K274" i="55"/>
  <c r="K275" i="55"/>
  <c r="K276" i="55"/>
  <c r="K277" i="55"/>
  <c r="K278" i="55"/>
  <c r="K279" i="55"/>
  <c r="K280" i="55"/>
  <c r="K281" i="55"/>
  <c r="K282" i="55"/>
  <c r="K283" i="55"/>
  <c r="K284" i="55"/>
  <c r="K285" i="55"/>
  <c r="K286" i="55"/>
  <c r="K287" i="55"/>
  <c r="K288" i="55"/>
  <c r="K289" i="55"/>
  <c r="K290" i="55"/>
  <c r="K291" i="55"/>
  <c r="K292" i="55"/>
  <c r="K293" i="55"/>
  <c r="K294" i="55"/>
  <c r="K295" i="55"/>
  <c r="K296" i="55"/>
  <c r="K297" i="55"/>
  <c r="K298" i="55"/>
  <c r="K299" i="55"/>
  <c r="K300" i="55"/>
  <c r="K301" i="55"/>
  <c r="K302" i="55"/>
  <c r="K303" i="55"/>
  <c r="K304" i="55"/>
  <c r="K305" i="55"/>
  <c r="K306" i="55"/>
  <c r="K307" i="55"/>
  <c r="K308" i="55"/>
  <c r="K309" i="55"/>
  <c r="K310" i="55"/>
  <c r="K311" i="55"/>
  <c r="K312" i="55"/>
  <c r="K313" i="55"/>
  <c r="K314" i="55"/>
  <c r="K315" i="55"/>
  <c r="K316" i="55"/>
  <c r="K317" i="55"/>
  <c r="K318" i="55"/>
  <c r="K319" i="55"/>
  <c r="K320" i="55"/>
  <c r="K321" i="55"/>
  <c r="K322" i="55"/>
  <c r="K323" i="55"/>
  <c r="K324" i="55"/>
  <c r="K325" i="55"/>
  <c r="K326" i="55"/>
  <c r="K327" i="55"/>
  <c r="K328" i="55"/>
  <c r="K329" i="55"/>
  <c r="K330" i="55"/>
  <c r="K331" i="55"/>
  <c r="K332" i="55"/>
  <c r="K333" i="55"/>
  <c r="K334" i="55"/>
  <c r="K335" i="55"/>
  <c r="K336" i="55"/>
  <c r="K337" i="55"/>
  <c r="K338" i="55"/>
  <c r="K339" i="55"/>
  <c r="K340" i="55"/>
  <c r="K341" i="55"/>
  <c r="K342" i="55"/>
  <c r="K343" i="55"/>
  <c r="K344" i="55"/>
  <c r="K345" i="55"/>
  <c r="K346" i="55"/>
  <c r="K347" i="55"/>
  <c r="K348" i="55"/>
  <c r="K349" i="55"/>
  <c r="K350" i="55"/>
  <c r="K351" i="55"/>
  <c r="K352" i="55"/>
  <c r="K353" i="55"/>
  <c r="K354" i="55"/>
  <c r="K355" i="55"/>
  <c r="K356" i="55"/>
  <c r="K357" i="55"/>
  <c r="K358" i="55"/>
  <c r="K359" i="55"/>
  <c r="K360" i="55"/>
  <c r="K361" i="55"/>
  <c r="K362" i="55"/>
  <c r="K363" i="55"/>
  <c r="K364" i="55"/>
  <c r="K365" i="55"/>
  <c r="K366" i="55"/>
  <c r="K367" i="55"/>
  <c r="K368" i="55"/>
  <c r="K369" i="55"/>
  <c r="K370" i="55"/>
  <c r="K371" i="55"/>
  <c r="K372" i="55"/>
  <c r="D7" i="27"/>
  <c r="E7" i="27"/>
  <c r="F7" i="27"/>
  <c r="G7" i="27"/>
  <c r="H7" i="27"/>
  <c r="I7" i="27"/>
  <c r="J7" i="27"/>
  <c r="K7" i="27"/>
  <c r="L7" i="27"/>
  <c r="M7" i="27"/>
  <c r="N7" i="27"/>
  <c r="O7" i="27"/>
  <c r="P7" i="27"/>
  <c r="Q7" i="27"/>
  <c r="R7" i="27"/>
  <c r="S7" i="27"/>
  <c r="T7" i="27"/>
  <c r="U7" i="27"/>
  <c r="V7" i="27"/>
  <c r="W7" i="27"/>
  <c r="X7" i="27"/>
  <c r="Y7" i="27"/>
  <c r="Z7" i="27"/>
  <c r="AA7" i="27"/>
  <c r="AB7" i="27"/>
  <c r="AC7" i="27"/>
  <c r="AD7" i="27"/>
  <c r="AE7" i="27"/>
  <c r="AF7" i="27"/>
  <c r="AG7" i="27"/>
  <c r="AH7" i="27"/>
  <c r="AI7" i="27"/>
  <c r="AJ7" i="27"/>
  <c r="AK7" i="27"/>
  <c r="AL7" i="27"/>
  <c r="AM7" i="27"/>
  <c r="AN7" i="27"/>
  <c r="AO7" i="27"/>
  <c r="AP7" i="27"/>
  <c r="AQ7" i="27"/>
  <c r="AR7" i="27"/>
  <c r="D11" i="27"/>
  <c r="E11" i="27"/>
  <c r="F11" i="27"/>
  <c r="G11" i="27"/>
  <c r="H11" i="27"/>
  <c r="I11" i="27"/>
  <c r="J11" i="27"/>
  <c r="K11" i="27"/>
  <c r="L11" i="27"/>
  <c r="M11" i="27"/>
  <c r="N11" i="27"/>
  <c r="O11" i="27"/>
  <c r="P11" i="27"/>
  <c r="Q11" i="27"/>
  <c r="R11" i="27"/>
  <c r="S11" i="27"/>
  <c r="T11" i="27"/>
  <c r="U11" i="27"/>
  <c r="V11" i="27"/>
  <c r="W11" i="27"/>
  <c r="X11" i="27"/>
  <c r="Y11" i="27"/>
  <c r="Z11" i="27"/>
  <c r="AA11" i="27"/>
  <c r="AB11" i="27"/>
  <c r="AC11" i="27"/>
  <c r="AD11" i="27"/>
  <c r="AE11" i="27"/>
  <c r="AF11" i="27"/>
  <c r="AG11" i="27"/>
  <c r="AH11" i="27"/>
  <c r="AI11" i="27"/>
  <c r="AJ11" i="27"/>
  <c r="AK11" i="27"/>
  <c r="AL11" i="27"/>
  <c r="AM11" i="27"/>
  <c r="AN11" i="27"/>
  <c r="AO11" i="27"/>
  <c r="AP11" i="27"/>
  <c r="AQ11" i="27"/>
  <c r="AR11" i="27"/>
  <c r="B11" i="55"/>
  <c r="B8" i="55"/>
  <c r="B9" i="55" s="1"/>
  <c r="B12" i="55" l="1"/>
  <c r="B13" i="55" s="1"/>
  <c r="B14" i="55" s="1"/>
  <c r="B10" i="55"/>
  <c r="U7" i="15" l="1"/>
  <c r="U8" i="15" s="1"/>
  <c r="B4" i="55" l="1"/>
  <c r="G4" i="55" l="1"/>
  <c r="L11" i="60"/>
  <c r="L12" i="60"/>
  <c r="L25" i="60" s="1"/>
  <c r="P14" i="60" s="1"/>
  <c r="L13" i="60"/>
  <c r="L14" i="60"/>
  <c r="L15" i="60"/>
  <c r="L16" i="60"/>
  <c r="L17" i="60"/>
  <c r="L18" i="60"/>
  <c r="L19" i="60"/>
  <c r="L20" i="60"/>
  <c r="L21" i="60"/>
  <c r="L22" i="60"/>
  <c r="L23" i="60"/>
  <c r="L24" i="60"/>
  <c r="N16" i="60"/>
  <c r="N12" i="60"/>
  <c r="N13" i="60"/>
  <c r="N14" i="60"/>
  <c r="N15" i="60"/>
  <c r="N17" i="60"/>
  <c r="N18" i="60"/>
  <c r="N19" i="60"/>
  <c r="N20" i="60"/>
  <c r="N21" i="60"/>
  <c r="N22" i="60"/>
  <c r="N23" i="60"/>
  <c r="N24" i="60"/>
  <c r="N11" i="60"/>
  <c r="Q20" i="15"/>
  <c r="Q14" i="15"/>
  <c r="A7" i="55"/>
  <c r="B7" i="6"/>
  <c r="D4" i="15"/>
  <c r="D3" i="15"/>
  <c r="C3" i="15" s="1"/>
  <c r="A2" i="47"/>
  <c r="J7" i="55" s="1"/>
  <c r="B2" i="47"/>
  <c r="K7" i="55" s="1"/>
  <c r="B1" i="47"/>
  <c r="W37" i="48"/>
  <c r="V37" i="48"/>
  <c r="U37" i="48"/>
  <c r="T37" i="48"/>
  <c r="S37" i="48"/>
  <c r="R37" i="48"/>
  <c r="Q37" i="48"/>
  <c r="P37" i="48"/>
  <c r="O37" i="48"/>
  <c r="N37" i="48"/>
  <c r="M37" i="48"/>
  <c r="L37" i="48"/>
  <c r="K37" i="48"/>
  <c r="J37" i="48"/>
  <c r="I37" i="48"/>
  <c r="H37" i="48"/>
  <c r="G37" i="48"/>
  <c r="F37" i="48"/>
  <c r="E37" i="48"/>
  <c r="D37" i="48"/>
  <c r="C37" i="48"/>
  <c r="B37" i="48"/>
  <c r="I26" i="48"/>
  <c r="O25" i="48"/>
  <c r="M25" i="48"/>
  <c r="W36" i="48"/>
  <c r="O24" i="48"/>
  <c r="M24" i="48"/>
  <c r="O23" i="48"/>
  <c r="M23" i="48"/>
  <c r="O22" i="48"/>
  <c r="M22" i="48"/>
  <c r="J22" i="48" s="1"/>
  <c r="L22" i="48" s="1"/>
  <c r="O21" i="48"/>
  <c r="M21" i="48"/>
  <c r="O20" i="48"/>
  <c r="M20" i="48"/>
  <c r="R36" i="48" s="1"/>
  <c r="O19" i="48"/>
  <c r="M19" i="48"/>
  <c r="Q36" i="48" s="1"/>
  <c r="O18" i="48"/>
  <c r="M18" i="48"/>
  <c r="O17" i="48"/>
  <c r="M17" i="48"/>
  <c r="O16" i="48"/>
  <c r="M16" i="48"/>
  <c r="N36" i="48"/>
  <c r="O15" i="48"/>
  <c r="M15" i="48"/>
  <c r="O14" i="48"/>
  <c r="M14" i="48"/>
  <c r="L36" i="48"/>
  <c r="O13" i="48"/>
  <c r="M13" i="48"/>
  <c r="O12" i="48"/>
  <c r="M12" i="48"/>
  <c r="J12" i="48" s="1"/>
  <c r="L12" i="48" s="1"/>
  <c r="O11" i="48"/>
  <c r="M11" i="48"/>
  <c r="O10" i="48"/>
  <c r="M10" i="48"/>
  <c r="J10" i="48" s="1"/>
  <c r="L10" i="48" s="1"/>
  <c r="O9" i="48"/>
  <c r="M9" i="48"/>
  <c r="O8" i="48"/>
  <c r="M8" i="48"/>
  <c r="F36" i="48"/>
  <c r="O7" i="48"/>
  <c r="M7" i="48"/>
  <c r="O6" i="48"/>
  <c r="M6" i="48"/>
  <c r="D36" i="48" s="1"/>
  <c r="O5" i="48"/>
  <c r="M5" i="48"/>
  <c r="O4" i="48"/>
  <c r="M4" i="48"/>
  <c r="B36" i="48"/>
  <c r="Z23" i="30"/>
  <c r="Y23" i="30"/>
  <c r="X23" i="30"/>
  <c r="W23" i="30"/>
  <c r="V23" i="30"/>
  <c r="U23" i="30"/>
  <c r="Z22" i="30"/>
  <c r="Y22" i="30"/>
  <c r="X22" i="30"/>
  <c r="W22" i="30"/>
  <c r="V22" i="30"/>
  <c r="U22" i="30"/>
  <c r="Z21" i="30"/>
  <c r="Y21" i="30"/>
  <c r="X21" i="30"/>
  <c r="W21" i="30"/>
  <c r="V21" i="30"/>
  <c r="U21" i="30"/>
  <c r="T20" i="30"/>
  <c r="Z19" i="30"/>
  <c r="Y19" i="30"/>
  <c r="X19" i="30"/>
  <c r="W19" i="30"/>
  <c r="V19" i="30"/>
  <c r="U19" i="30"/>
  <c r="Z18" i="30"/>
  <c r="Y18" i="30"/>
  <c r="X18" i="30"/>
  <c r="W18" i="30"/>
  <c r="V18" i="30"/>
  <c r="U18" i="30"/>
  <c r="B23" i="30" s="1"/>
  <c r="Z17" i="30"/>
  <c r="Y17" i="30"/>
  <c r="X17" i="30"/>
  <c r="W17" i="30"/>
  <c r="V17" i="30"/>
  <c r="U17" i="30"/>
  <c r="B22" i="30" s="1"/>
  <c r="T16" i="30"/>
  <c r="G15" i="30"/>
  <c r="C15" i="30"/>
  <c r="G14" i="30"/>
  <c r="C14" i="30"/>
  <c r="G13" i="30"/>
  <c r="C13" i="30"/>
  <c r="K10" i="30"/>
  <c r="K9" i="30"/>
  <c r="H6" i="30"/>
  <c r="F6" i="30"/>
  <c r="D6" i="30"/>
  <c r="B6" i="30"/>
  <c r="H5" i="30"/>
  <c r="F5" i="30"/>
  <c r="D5" i="30"/>
  <c r="B5" i="30"/>
  <c r="H4" i="30"/>
  <c r="F4" i="30"/>
  <c r="D4" i="30"/>
  <c r="B4" i="30"/>
  <c r="A1" i="25"/>
  <c r="J254" i="8"/>
  <c r="J243" i="8" s="1"/>
  <c r="J244" i="8" s="1"/>
  <c r="J245" i="8" s="1"/>
  <c r="J246" i="8" s="1"/>
  <c r="J247" i="8" s="1"/>
  <c r="J248" i="8" s="1"/>
  <c r="J249" i="8" s="1"/>
  <c r="J250" i="8" s="1"/>
  <c r="J251" i="8" s="1"/>
  <c r="J252" i="8" s="1"/>
  <c r="J253" i="8" s="1"/>
  <c r="G254" i="8"/>
  <c r="G255" i="8" s="1"/>
  <c r="J242" i="8"/>
  <c r="G242" i="8"/>
  <c r="J230" i="8"/>
  <c r="J231" i="8" s="1"/>
  <c r="J232" i="8" s="1"/>
  <c r="J233" i="8" s="1"/>
  <c r="J234" i="8" s="1"/>
  <c r="J235" i="8" s="1"/>
  <c r="J236" i="8" s="1"/>
  <c r="J237" i="8" s="1"/>
  <c r="J238" i="8" s="1"/>
  <c r="J239" i="8" s="1"/>
  <c r="J240" i="8" s="1"/>
  <c r="J241" i="8" s="1"/>
  <c r="G230" i="8"/>
  <c r="L230" i="8" s="1"/>
  <c r="J218" i="8"/>
  <c r="J219" i="8" s="1"/>
  <c r="J220" i="8" s="1"/>
  <c r="J221" i="8" s="1"/>
  <c r="J222" i="8" s="1"/>
  <c r="J223" i="8" s="1"/>
  <c r="J224" i="8" s="1"/>
  <c r="J225" i="8" s="1"/>
  <c r="J226" i="8" s="1"/>
  <c r="J227" i="8" s="1"/>
  <c r="J228" i="8" s="1"/>
  <c r="J229" i="8" s="1"/>
  <c r="G218" i="8"/>
  <c r="I218" i="8" s="1"/>
  <c r="J206" i="8"/>
  <c r="G206" i="8"/>
  <c r="H206" i="8" s="1"/>
  <c r="B14" i="8"/>
  <c r="B2" i="8"/>
  <c r="R20" i="2"/>
  <c r="K7" i="2"/>
  <c r="K4" i="2"/>
  <c r="M4" i="5"/>
  <c r="M13" i="5" s="1"/>
  <c r="L4" i="5"/>
  <c r="L13" i="5" s="1"/>
  <c r="K4" i="5"/>
  <c r="K13" i="5" s="1"/>
  <c r="J4" i="5"/>
  <c r="J13" i="5" s="1"/>
  <c r="I4" i="5"/>
  <c r="I13" i="5" s="1"/>
  <c r="F4" i="5"/>
  <c r="F13" i="5" s="1"/>
  <c r="A4" i="5"/>
  <c r="A13" i="5" s="1"/>
  <c r="I101" i="3"/>
  <c r="J98" i="3"/>
  <c r="I100" i="3"/>
  <c r="J99" i="3"/>
  <c r="K99" i="3"/>
  <c r="K98" i="3"/>
  <c r="K97" i="3"/>
  <c r="J97" i="3"/>
  <c r="K96" i="3"/>
  <c r="J96" i="3"/>
  <c r="K95" i="3"/>
  <c r="J95" i="3"/>
  <c r="K94" i="3"/>
  <c r="J94" i="3"/>
  <c r="K93" i="3"/>
  <c r="J93" i="3"/>
  <c r="K92" i="3"/>
  <c r="J92" i="3"/>
  <c r="K91" i="3"/>
  <c r="J91" i="3"/>
  <c r="K90" i="3"/>
  <c r="J90" i="3"/>
  <c r="K89" i="3"/>
  <c r="J89" i="3"/>
  <c r="K88" i="3"/>
  <c r="J88" i="3"/>
  <c r="K87" i="3"/>
  <c r="J87" i="3"/>
  <c r="K86" i="3"/>
  <c r="J86" i="3"/>
  <c r="K85" i="3"/>
  <c r="J85" i="3"/>
  <c r="K84" i="3"/>
  <c r="J84" i="3"/>
  <c r="K83" i="3"/>
  <c r="J83" i="3"/>
  <c r="K82" i="3"/>
  <c r="J82" i="3"/>
  <c r="K81" i="3"/>
  <c r="J81" i="3"/>
  <c r="K80" i="3"/>
  <c r="J80" i="3"/>
  <c r="K79" i="3"/>
  <c r="J79" i="3"/>
  <c r="K78" i="3"/>
  <c r="J78" i="3"/>
  <c r="K77" i="3"/>
  <c r="J77" i="3"/>
  <c r="K76" i="3"/>
  <c r="J76" i="3"/>
  <c r="K75" i="3"/>
  <c r="J75" i="3"/>
  <c r="K74" i="3"/>
  <c r="J74" i="3"/>
  <c r="K73" i="3"/>
  <c r="J73" i="3"/>
  <c r="K72" i="3"/>
  <c r="J72" i="3"/>
  <c r="K71" i="3"/>
  <c r="J71" i="3"/>
  <c r="K70" i="3"/>
  <c r="J70" i="3"/>
  <c r="K69" i="3"/>
  <c r="J69" i="3"/>
  <c r="K68" i="3"/>
  <c r="J68" i="3"/>
  <c r="K67" i="3"/>
  <c r="J67" i="3"/>
  <c r="K66" i="3"/>
  <c r="J66" i="3"/>
  <c r="K65" i="3"/>
  <c r="J65" i="3"/>
  <c r="K64" i="3"/>
  <c r="J64" i="3"/>
  <c r="K63" i="3"/>
  <c r="J63" i="3"/>
  <c r="K62" i="3"/>
  <c r="J62" i="3"/>
  <c r="K61" i="3"/>
  <c r="J61" i="3"/>
  <c r="K60" i="3"/>
  <c r="J60" i="3"/>
  <c r="K59" i="3"/>
  <c r="J59" i="3"/>
  <c r="K58" i="3"/>
  <c r="J58" i="3"/>
  <c r="K57" i="3"/>
  <c r="J57" i="3"/>
  <c r="K56" i="3"/>
  <c r="J56" i="3"/>
  <c r="K55" i="3"/>
  <c r="J55" i="3"/>
  <c r="K54" i="3"/>
  <c r="J54" i="3"/>
  <c r="AQ53" i="3"/>
  <c r="K53" i="3"/>
  <c r="J53" i="3"/>
  <c r="AQ52" i="3"/>
  <c r="K52" i="3"/>
  <c r="J52" i="3"/>
  <c r="AQ51" i="3"/>
  <c r="K51" i="3"/>
  <c r="J51" i="3"/>
  <c r="AQ50" i="3"/>
  <c r="K50" i="3"/>
  <c r="J50" i="3"/>
  <c r="AQ49" i="3"/>
  <c r="K49" i="3"/>
  <c r="J49" i="3"/>
  <c r="AQ48" i="3"/>
  <c r="K48" i="3"/>
  <c r="J48" i="3"/>
  <c r="AQ47" i="3"/>
  <c r="K47" i="3"/>
  <c r="J47" i="3"/>
  <c r="AQ46" i="3"/>
  <c r="K46" i="3"/>
  <c r="J46" i="3"/>
  <c r="AQ45" i="3"/>
  <c r="K45" i="3"/>
  <c r="J45" i="3"/>
  <c r="AQ44" i="3"/>
  <c r="K44" i="3"/>
  <c r="J44" i="3"/>
  <c r="AQ43" i="3"/>
  <c r="K43" i="3"/>
  <c r="J43" i="3"/>
  <c r="AQ42" i="3"/>
  <c r="K42" i="3"/>
  <c r="J42" i="3"/>
  <c r="AQ41" i="3"/>
  <c r="P41" i="3"/>
  <c r="N41" i="3"/>
  <c r="K41" i="3"/>
  <c r="J41" i="3"/>
  <c r="F47" i="3"/>
  <c r="C55" i="3" s="1"/>
  <c r="C47" i="3"/>
  <c r="AQ40" i="3"/>
  <c r="P40" i="3"/>
  <c r="N40" i="3"/>
  <c r="K40" i="3"/>
  <c r="J40" i="3"/>
  <c r="C46" i="3"/>
  <c r="AQ39" i="3"/>
  <c r="P39" i="3"/>
  <c r="N39" i="3"/>
  <c r="K39" i="3"/>
  <c r="J39" i="3"/>
  <c r="AQ38" i="3"/>
  <c r="P38" i="3"/>
  <c r="N38" i="3"/>
  <c r="K38" i="3"/>
  <c r="J38" i="3"/>
  <c r="AQ37" i="3"/>
  <c r="P37" i="3"/>
  <c r="N37" i="3"/>
  <c r="K37" i="3"/>
  <c r="J37" i="3"/>
  <c r="AQ36" i="3"/>
  <c r="P36" i="3"/>
  <c r="N36" i="3"/>
  <c r="K36" i="3"/>
  <c r="J36" i="3"/>
  <c r="AQ35" i="3"/>
  <c r="P35" i="3"/>
  <c r="N35" i="3"/>
  <c r="K35" i="3"/>
  <c r="J35" i="3"/>
  <c r="AQ34" i="3"/>
  <c r="P34" i="3"/>
  <c r="N34" i="3"/>
  <c r="K34" i="3"/>
  <c r="J34" i="3"/>
  <c r="AQ33" i="3"/>
  <c r="P33" i="3"/>
  <c r="N33" i="3"/>
  <c r="K33" i="3"/>
  <c r="J33" i="3"/>
  <c r="F45" i="3"/>
  <c r="C53" i="3" s="1"/>
  <c r="AQ32" i="3"/>
  <c r="P32" i="3"/>
  <c r="N32" i="3"/>
  <c r="K32" i="3"/>
  <c r="J32" i="3"/>
  <c r="AQ31" i="3"/>
  <c r="P31" i="3"/>
  <c r="N31" i="3"/>
  <c r="K31" i="3"/>
  <c r="J31" i="3"/>
  <c r="AQ30" i="3"/>
  <c r="P30" i="3"/>
  <c r="N30" i="3"/>
  <c r="K30" i="3"/>
  <c r="J30" i="3"/>
  <c r="AQ29" i="3"/>
  <c r="P29" i="3"/>
  <c r="N29" i="3"/>
  <c r="K29" i="3"/>
  <c r="J29" i="3"/>
  <c r="AQ28" i="3"/>
  <c r="P28" i="3"/>
  <c r="N28" i="3"/>
  <c r="K28" i="3"/>
  <c r="J28" i="3"/>
  <c r="AQ27" i="3"/>
  <c r="P27" i="3"/>
  <c r="N27" i="3"/>
  <c r="K27" i="3"/>
  <c r="J27" i="3"/>
  <c r="AQ26" i="3"/>
  <c r="P26" i="3"/>
  <c r="N26" i="3"/>
  <c r="K26" i="3"/>
  <c r="J26" i="3"/>
  <c r="AQ25" i="3"/>
  <c r="P25" i="3"/>
  <c r="N25" i="3"/>
  <c r="K25" i="3"/>
  <c r="J25" i="3"/>
  <c r="F44" i="3"/>
  <c r="C52" i="3" s="1"/>
  <c r="AQ24" i="3"/>
  <c r="P24" i="3"/>
  <c r="N24" i="3"/>
  <c r="K24" i="3"/>
  <c r="J24" i="3"/>
  <c r="AQ23" i="3"/>
  <c r="P23" i="3"/>
  <c r="N23" i="3"/>
  <c r="K23" i="3"/>
  <c r="J23" i="3"/>
  <c r="AQ22" i="3"/>
  <c r="P22" i="3"/>
  <c r="N22" i="3"/>
  <c r="K22" i="3"/>
  <c r="J22" i="3"/>
  <c r="AQ21" i="3"/>
  <c r="P21" i="3"/>
  <c r="P42" i="3" s="1"/>
  <c r="N21" i="3"/>
  <c r="K21" i="3"/>
  <c r="J21" i="3"/>
  <c r="AQ20" i="3"/>
  <c r="P20" i="3"/>
  <c r="N20" i="3"/>
  <c r="N42" i="3" s="1"/>
  <c r="B36" i="4" s="1"/>
  <c r="K20" i="3"/>
  <c r="J20" i="3"/>
  <c r="AQ19" i="3"/>
  <c r="P19" i="3"/>
  <c r="N19" i="3"/>
  <c r="K19" i="3"/>
  <c r="K100" i="3" s="1"/>
  <c r="J19" i="3"/>
  <c r="AQ18" i="3"/>
  <c r="P18" i="3"/>
  <c r="N18" i="3"/>
  <c r="K18" i="3"/>
  <c r="J18" i="3"/>
  <c r="AQ17" i="3"/>
  <c r="P17" i="3"/>
  <c r="N17" i="3"/>
  <c r="K17" i="3"/>
  <c r="J17" i="3"/>
  <c r="AQ16" i="3"/>
  <c r="P16" i="3"/>
  <c r="N16" i="3"/>
  <c r="K16" i="3"/>
  <c r="J16" i="3"/>
  <c r="U10" i="3"/>
  <c r="U11" i="3" s="1"/>
  <c r="S12" i="3" s="1"/>
  <c r="K5" i="3"/>
  <c r="K4" i="3"/>
  <c r="K3" i="3"/>
  <c r="E2" i="3"/>
  <c r="E3" i="3" s="1"/>
  <c r="D2" i="3"/>
  <c r="C2" i="3"/>
  <c r="V30" i="5"/>
  <c r="U30" i="5"/>
  <c r="T30" i="5"/>
  <c r="S30" i="5"/>
  <c r="R30" i="5"/>
  <c r="Q30" i="5"/>
  <c r="P30" i="5"/>
  <c r="O30" i="5"/>
  <c r="N30" i="5"/>
  <c r="M30" i="5"/>
  <c r="L30" i="5"/>
  <c r="K30" i="5"/>
  <c r="J30" i="5"/>
  <c r="I30" i="5"/>
  <c r="H30" i="5"/>
  <c r="G30" i="5"/>
  <c r="F30" i="5"/>
  <c r="E30" i="5"/>
  <c r="D30" i="5"/>
  <c r="C30" i="5"/>
  <c r="B30" i="5"/>
  <c r="A30" i="5"/>
  <c r="V29" i="5"/>
  <c r="U29" i="5"/>
  <c r="T29" i="5"/>
  <c r="S29" i="5"/>
  <c r="R29" i="5"/>
  <c r="Q29" i="5"/>
  <c r="P29" i="5"/>
  <c r="O29" i="5"/>
  <c r="N29" i="5"/>
  <c r="M29" i="5"/>
  <c r="L29" i="5"/>
  <c r="K29" i="5"/>
  <c r="J29" i="5"/>
  <c r="I29" i="5"/>
  <c r="H29" i="5"/>
  <c r="G29" i="5"/>
  <c r="F29" i="5"/>
  <c r="E29" i="5"/>
  <c r="D29" i="5"/>
  <c r="C29" i="5"/>
  <c r="B29" i="5"/>
  <c r="A29" i="5"/>
  <c r="V28" i="5"/>
  <c r="U28" i="5"/>
  <c r="T28" i="5"/>
  <c r="S28" i="5"/>
  <c r="R28" i="5"/>
  <c r="Q28" i="5"/>
  <c r="P28" i="5"/>
  <c r="O28" i="5"/>
  <c r="N28" i="5"/>
  <c r="M28" i="5"/>
  <c r="L28" i="5"/>
  <c r="K28" i="5"/>
  <c r="J28" i="5"/>
  <c r="I28" i="5"/>
  <c r="H28" i="5"/>
  <c r="G28" i="5"/>
  <c r="F28" i="5"/>
  <c r="E28" i="5"/>
  <c r="D28" i="5"/>
  <c r="C28" i="5"/>
  <c r="B28" i="5"/>
  <c r="A28" i="5"/>
  <c r="V27" i="5"/>
  <c r="U27" i="5"/>
  <c r="T27" i="5"/>
  <c r="S27" i="5"/>
  <c r="R27" i="5"/>
  <c r="Q27" i="5"/>
  <c r="P27" i="5"/>
  <c r="O27" i="5"/>
  <c r="N27" i="5"/>
  <c r="M27" i="5"/>
  <c r="L27" i="5"/>
  <c r="K27" i="5"/>
  <c r="J27" i="5"/>
  <c r="I27" i="5"/>
  <c r="H27" i="5"/>
  <c r="G27" i="5"/>
  <c r="F27" i="5"/>
  <c r="E27" i="5"/>
  <c r="D27" i="5"/>
  <c r="C27" i="5"/>
  <c r="B27" i="5"/>
  <c r="A27" i="5"/>
  <c r="V26" i="5"/>
  <c r="U26" i="5"/>
  <c r="T26" i="5"/>
  <c r="S26" i="5"/>
  <c r="R26" i="5"/>
  <c r="Q26" i="5"/>
  <c r="P26" i="5"/>
  <c r="O26" i="5"/>
  <c r="N26" i="5"/>
  <c r="M26" i="5"/>
  <c r="L26" i="5"/>
  <c r="K26" i="5"/>
  <c r="J26" i="5"/>
  <c r="I26" i="5"/>
  <c r="H26" i="5"/>
  <c r="G26" i="5"/>
  <c r="F26" i="5"/>
  <c r="E26" i="5"/>
  <c r="D26" i="5"/>
  <c r="C26" i="5"/>
  <c r="B26" i="5"/>
  <c r="A26" i="5"/>
  <c r="V25" i="5"/>
  <c r="U25" i="5"/>
  <c r="T25" i="5"/>
  <c r="S25" i="5"/>
  <c r="R25" i="5"/>
  <c r="Q25" i="5"/>
  <c r="P25" i="5"/>
  <c r="O25" i="5"/>
  <c r="N25" i="5"/>
  <c r="M25" i="5"/>
  <c r="L25" i="5"/>
  <c r="K25" i="5"/>
  <c r="J25" i="5"/>
  <c r="I25" i="5"/>
  <c r="H25" i="5"/>
  <c r="G25" i="5"/>
  <c r="F25" i="5"/>
  <c r="E25" i="5"/>
  <c r="D25" i="5"/>
  <c r="C25" i="5"/>
  <c r="B25" i="5"/>
  <c r="A25" i="5"/>
  <c r="V24" i="5"/>
  <c r="U24" i="5"/>
  <c r="T24" i="5"/>
  <c r="S24" i="5"/>
  <c r="R24" i="5"/>
  <c r="Q24" i="5"/>
  <c r="P24" i="5"/>
  <c r="O24" i="5"/>
  <c r="N24" i="5"/>
  <c r="M24" i="5"/>
  <c r="L24" i="5"/>
  <c r="K24" i="5"/>
  <c r="J24" i="5"/>
  <c r="I24" i="5"/>
  <c r="H24" i="5"/>
  <c r="G24" i="5"/>
  <c r="F24" i="5"/>
  <c r="E24" i="5"/>
  <c r="D24" i="5"/>
  <c r="C24" i="5"/>
  <c r="B24" i="5"/>
  <c r="A24" i="5"/>
  <c r="V23" i="5"/>
  <c r="U23" i="5"/>
  <c r="T23" i="5"/>
  <c r="S23" i="5"/>
  <c r="R23" i="5"/>
  <c r="Q23" i="5"/>
  <c r="P23" i="5"/>
  <c r="O23" i="5"/>
  <c r="N23" i="5"/>
  <c r="M23" i="5"/>
  <c r="L23" i="5"/>
  <c r="K23" i="5"/>
  <c r="J23" i="5"/>
  <c r="I23" i="5"/>
  <c r="H23" i="5"/>
  <c r="G23" i="5"/>
  <c r="F23" i="5"/>
  <c r="E23" i="5"/>
  <c r="D23" i="5"/>
  <c r="C23" i="5"/>
  <c r="B23" i="5"/>
  <c r="A23" i="5"/>
  <c r="V22" i="5"/>
  <c r="U22" i="5"/>
  <c r="T22" i="5"/>
  <c r="S22" i="5"/>
  <c r="R22" i="5"/>
  <c r="Q22" i="5"/>
  <c r="P22" i="5"/>
  <c r="O22" i="5"/>
  <c r="N22" i="5"/>
  <c r="M22" i="5"/>
  <c r="L22" i="5"/>
  <c r="K22" i="5"/>
  <c r="J22" i="5"/>
  <c r="I22" i="5"/>
  <c r="H22" i="5"/>
  <c r="G22" i="5"/>
  <c r="F22" i="5"/>
  <c r="E22" i="5"/>
  <c r="D22" i="5"/>
  <c r="C22" i="5"/>
  <c r="B22" i="5"/>
  <c r="A22" i="5"/>
  <c r="V21" i="5"/>
  <c r="U21" i="5"/>
  <c r="T21" i="5"/>
  <c r="S21" i="5"/>
  <c r="R21" i="5"/>
  <c r="Q21" i="5"/>
  <c r="P21" i="5"/>
  <c r="O21" i="5"/>
  <c r="N21" i="5"/>
  <c r="M21" i="5"/>
  <c r="L21" i="5"/>
  <c r="K21" i="5"/>
  <c r="J21" i="5"/>
  <c r="I21" i="5"/>
  <c r="H21" i="5"/>
  <c r="G21" i="5"/>
  <c r="F21" i="5"/>
  <c r="E21" i="5"/>
  <c r="D21" i="5"/>
  <c r="C21" i="5"/>
  <c r="B21" i="5"/>
  <c r="A21" i="5"/>
  <c r="N8" i="5"/>
  <c r="N17" i="5"/>
  <c r="M8" i="5"/>
  <c r="M17" i="5" s="1"/>
  <c r="L8" i="5"/>
  <c r="L17" i="5" s="1"/>
  <c r="K8" i="5"/>
  <c r="K17" i="5" s="1"/>
  <c r="J8" i="5"/>
  <c r="J17" i="5"/>
  <c r="I8" i="5"/>
  <c r="I17" i="5"/>
  <c r="H8" i="5"/>
  <c r="H17" i="5" s="1"/>
  <c r="G8" i="5"/>
  <c r="G17" i="5" s="1"/>
  <c r="F8" i="5"/>
  <c r="F17" i="5" s="1"/>
  <c r="E8" i="5"/>
  <c r="E17" i="5" s="1"/>
  <c r="D8" i="5"/>
  <c r="D17" i="5" s="1"/>
  <c r="C8" i="5"/>
  <c r="C17" i="5" s="1"/>
  <c r="B8" i="5"/>
  <c r="B17" i="5" s="1"/>
  <c r="A8" i="5"/>
  <c r="A17" i="5" s="1"/>
  <c r="N7" i="5"/>
  <c r="N16" i="5" s="1"/>
  <c r="M7" i="5"/>
  <c r="M16" i="5" s="1"/>
  <c r="L7" i="5"/>
  <c r="L16" i="5" s="1"/>
  <c r="K7" i="5"/>
  <c r="K16" i="5" s="1"/>
  <c r="J7" i="5"/>
  <c r="J16" i="5" s="1"/>
  <c r="I7" i="5"/>
  <c r="I16" i="5" s="1"/>
  <c r="H7" i="5"/>
  <c r="H16" i="5" s="1"/>
  <c r="G7" i="5"/>
  <c r="G16" i="5" s="1"/>
  <c r="F7" i="5"/>
  <c r="F16" i="5" s="1"/>
  <c r="E7" i="5"/>
  <c r="E16" i="5" s="1"/>
  <c r="D7" i="5"/>
  <c r="D16" i="5" s="1"/>
  <c r="C7" i="5"/>
  <c r="C16" i="5"/>
  <c r="B7" i="5"/>
  <c r="B16" i="5" s="1"/>
  <c r="A7" i="5"/>
  <c r="A16" i="5" s="1"/>
  <c r="N6" i="5"/>
  <c r="N15" i="5" s="1"/>
  <c r="M6" i="5"/>
  <c r="M15" i="5" s="1"/>
  <c r="L6" i="5"/>
  <c r="L15" i="5" s="1"/>
  <c r="K6" i="5"/>
  <c r="K15" i="5" s="1"/>
  <c r="J6" i="5"/>
  <c r="J15" i="5"/>
  <c r="I6" i="5"/>
  <c r="I15" i="5" s="1"/>
  <c r="H6" i="5"/>
  <c r="H15" i="5" s="1"/>
  <c r="G6" i="5"/>
  <c r="G15" i="5" s="1"/>
  <c r="F6" i="5"/>
  <c r="F15" i="5"/>
  <c r="E6" i="5"/>
  <c r="E15" i="5"/>
  <c r="D6" i="5"/>
  <c r="D15" i="5" s="1"/>
  <c r="C6" i="5"/>
  <c r="C15" i="5" s="1"/>
  <c r="B6" i="5"/>
  <c r="B15" i="5" s="1"/>
  <c r="A6" i="5"/>
  <c r="A15" i="5" s="1"/>
  <c r="N5" i="5"/>
  <c r="N14" i="5" s="1"/>
  <c r="M5" i="5"/>
  <c r="M14" i="5" s="1"/>
  <c r="L5" i="5"/>
  <c r="L14" i="5" s="1"/>
  <c r="K5" i="5"/>
  <c r="K14" i="5" s="1"/>
  <c r="J5" i="5"/>
  <c r="J14" i="5" s="1"/>
  <c r="I5" i="5"/>
  <c r="I14" i="5" s="1"/>
  <c r="H5" i="5"/>
  <c r="H14" i="5" s="1"/>
  <c r="G5" i="5"/>
  <c r="G14" i="5" s="1"/>
  <c r="F5" i="5"/>
  <c r="F14" i="5" s="1"/>
  <c r="E5" i="5"/>
  <c r="E14" i="5" s="1"/>
  <c r="D5" i="5"/>
  <c r="D14" i="5" s="1"/>
  <c r="C5" i="5"/>
  <c r="C14" i="5" s="1"/>
  <c r="B5" i="5"/>
  <c r="B14" i="5" s="1"/>
  <c r="A5" i="5"/>
  <c r="A14" i="5" s="1"/>
  <c r="H4" i="5"/>
  <c r="H13" i="5" s="1"/>
  <c r="G4" i="5"/>
  <c r="G13" i="5"/>
  <c r="D4" i="5"/>
  <c r="D13" i="5" s="1"/>
  <c r="E187" i="27"/>
  <c r="D187" i="27"/>
  <c r="E186" i="27"/>
  <c r="D186" i="27"/>
  <c r="E185" i="27"/>
  <c r="D185" i="27"/>
  <c r="E184" i="27"/>
  <c r="D184" i="27"/>
  <c r="E183" i="27"/>
  <c r="D183" i="27"/>
  <c r="E182" i="27"/>
  <c r="D182" i="27"/>
  <c r="E181" i="27"/>
  <c r="D181" i="27"/>
  <c r="E180" i="27"/>
  <c r="D180" i="27"/>
  <c r="E179" i="27"/>
  <c r="D179" i="27"/>
  <c r="E178" i="27"/>
  <c r="D178" i="27"/>
  <c r="E177" i="27"/>
  <c r="D177" i="27"/>
  <c r="E176" i="27"/>
  <c r="D176" i="27"/>
  <c r="E175" i="27"/>
  <c r="D175" i="27"/>
  <c r="E174" i="27"/>
  <c r="D174" i="27"/>
  <c r="E173" i="27"/>
  <c r="D173" i="27"/>
  <c r="E172" i="27"/>
  <c r="D172" i="27"/>
  <c r="E171" i="27"/>
  <c r="D171" i="27"/>
  <c r="E170" i="27"/>
  <c r="D170" i="27"/>
  <c r="E169" i="27"/>
  <c r="D169" i="27"/>
  <c r="E168" i="27"/>
  <c r="D168" i="27"/>
  <c r="E167" i="27"/>
  <c r="D167" i="27"/>
  <c r="E166" i="27"/>
  <c r="D166" i="27"/>
  <c r="E165" i="27"/>
  <c r="D165" i="27"/>
  <c r="E164" i="27"/>
  <c r="D164" i="27"/>
  <c r="E163" i="27"/>
  <c r="D163" i="27"/>
  <c r="E162" i="27"/>
  <c r="D162" i="27"/>
  <c r="E161" i="27"/>
  <c r="D161" i="27"/>
  <c r="E160" i="27"/>
  <c r="D160" i="27"/>
  <c r="E159" i="27"/>
  <c r="D159" i="27"/>
  <c r="E158" i="27"/>
  <c r="D158" i="27"/>
  <c r="E157" i="27"/>
  <c r="D157" i="27"/>
  <c r="E156" i="27"/>
  <c r="D156" i="27"/>
  <c r="E155" i="27"/>
  <c r="D155" i="27"/>
  <c r="E154" i="27"/>
  <c r="D154" i="27"/>
  <c r="E153" i="27"/>
  <c r="D153" i="27"/>
  <c r="E152" i="27"/>
  <c r="D152" i="27"/>
  <c r="E151" i="27"/>
  <c r="D151" i="27"/>
  <c r="E150" i="27"/>
  <c r="D150" i="27"/>
  <c r="E149" i="27"/>
  <c r="D149" i="27"/>
  <c r="E148" i="27"/>
  <c r="D148" i="27"/>
  <c r="E147" i="27"/>
  <c r="D147" i="27"/>
  <c r="E146" i="27"/>
  <c r="D146" i="27"/>
  <c r="E145" i="27"/>
  <c r="D145" i="27"/>
  <c r="E144" i="27"/>
  <c r="D144" i="27"/>
  <c r="E143" i="27"/>
  <c r="D143" i="27"/>
  <c r="E142" i="27"/>
  <c r="D142" i="27"/>
  <c r="E141" i="27"/>
  <c r="D141" i="27"/>
  <c r="E140" i="27"/>
  <c r="D140" i="27"/>
  <c r="E139" i="27"/>
  <c r="D139" i="27"/>
  <c r="E138" i="27"/>
  <c r="D138" i="27"/>
  <c r="E137" i="27"/>
  <c r="D137" i="27"/>
  <c r="E136" i="27"/>
  <c r="D136" i="27"/>
  <c r="E135" i="27"/>
  <c r="D135" i="27"/>
  <c r="E134" i="27"/>
  <c r="D134" i="27"/>
  <c r="E133" i="27"/>
  <c r="D133" i="27"/>
  <c r="E132" i="27"/>
  <c r="D132" i="27"/>
  <c r="E131" i="27"/>
  <c r="D131" i="27"/>
  <c r="E130" i="27"/>
  <c r="D130" i="27"/>
  <c r="E129" i="27"/>
  <c r="D129" i="27"/>
  <c r="E128" i="27"/>
  <c r="D128" i="27"/>
  <c r="E127" i="27"/>
  <c r="D127" i="27"/>
  <c r="E126" i="27"/>
  <c r="D126" i="27"/>
  <c r="E125" i="27"/>
  <c r="D125" i="27"/>
  <c r="E124" i="27"/>
  <c r="D124" i="27"/>
  <c r="E123" i="27"/>
  <c r="D123" i="27"/>
  <c r="E122" i="27"/>
  <c r="D122" i="27"/>
  <c r="E121" i="27"/>
  <c r="D121" i="27"/>
  <c r="E120" i="27"/>
  <c r="D120" i="27"/>
  <c r="E119" i="27"/>
  <c r="D119" i="27"/>
  <c r="E118" i="27"/>
  <c r="D118" i="27"/>
  <c r="E117" i="27"/>
  <c r="D117" i="27"/>
  <c r="E116" i="27"/>
  <c r="D116" i="27"/>
  <c r="E115" i="27"/>
  <c r="D115" i="27"/>
  <c r="E114" i="27"/>
  <c r="D114" i="27"/>
  <c r="E113" i="27"/>
  <c r="D113" i="27"/>
  <c r="E112" i="27"/>
  <c r="D112" i="27"/>
  <c r="E111" i="27"/>
  <c r="D111" i="27"/>
  <c r="E110" i="27"/>
  <c r="D110" i="27"/>
  <c r="E109" i="27"/>
  <c r="D109" i="27"/>
  <c r="E108" i="27"/>
  <c r="D108" i="27"/>
  <c r="E107" i="27"/>
  <c r="D107" i="27"/>
  <c r="E106" i="27"/>
  <c r="D106" i="27"/>
  <c r="E105" i="27"/>
  <c r="D105" i="27"/>
  <c r="E104" i="27"/>
  <c r="D104" i="27"/>
  <c r="E103" i="27"/>
  <c r="D103" i="27"/>
  <c r="E102" i="27"/>
  <c r="D102" i="27"/>
  <c r="E101" i="27"/>
  <c r="D101" i="27"/>
  <c r="E100" i="27"/>
  <c r="D100" i="27"/>
  <c r="E99" i="27"/>
  <c r="D99" i="27"/>
  <c r="E98" i="27"/>
  <c r="D98" i="27"/>
  <c r="E97" i="27"/>
  <c r="D97" i="27"/>
  <c r="E96" i="27"/>
  <c r="D96" i="27"/>
  <c r="E95" i="27"/>
  <c r="D95" i="27"/>
  <c r="E94" i="27"/>
  <c r="D94" i="27"/>
  <c r="E93" i="27"/>
  <c r="D93" i="27"/>
  <c r="E92" i="27"/>
  <c r="D92" i="27"/>
  <c r="E91" i="27"/>
  <c r="D91" i="27"/>
  <c r="E90" i="27"/>
  <c r="D90" i="27"/>
  <c r="E89" i="27"/>
  <c r="D89" i="27"/>
  <c r="E88" i="27"/>
  <c r="D88" i="27"/>
  <c r="E87" i="27"/>
  <c r="D87" i="27"/>
  <c r="E86" i="27"/>
  <c r="D86" i="27"/>
  <c r="E85" i="27"/>
  <c r="D85" i="27"/>
  <c r="E84" i="27"/>
  <c r="D84" i="27"/>
  <c r="E83" i="27"/>
  <c r="D83" i="27"/>
  <c r="E82" i="27"/>
  <c r="D82" i="27"/>
  <c r="E81" i="27"/>
  <c r="D81" i="27"/>
  <c r="E80" i="27"/>
  <c r="D80" i="27"/>
  <c r="E79" i="27"/>
  <c r="D79" i="27"/>
  <c r="E78" i="27"/>
  <c r="D78" i="27"/>
  <c r="E77" i="27"/>
  <c r="D77" i="27"/>
  <c r="E76" i="27"/>
  <c r="D76" i="27"/>
  <c r="E75" i="27"/>
  <c r="D75" i="27"/>
  <c r="E74" i="27"/>
  <c r="D74" i="27"/>
  <c r="E73" i="27"/>
  <c r="D73" i="27"/>
  <c r="E72" i="27"/>
  <c r="D72" i="27"/>
  <c r="E71" i="27"/>
  <c r="D71" i="27"/>
  <c r="E70" i="27"/>
  <c r="D70" i="27"/>
  <c r="E69" i="27"/>
  <c r="D69" i="27"/>
  <c r="E68" i="27"/>
  <c r="D68" i="27"/>
  <c r="E67" i="27"/>
  <c r="D67" i="27"/>
  <c r="X56" i="27"/>
  <c r="W56" i="27"/>
  <c r="V56" i="27"/>
  <c r="U56" i="27"/>
  <c r="T56" i="27"/>
  <c r="C56" i="27"/>
  <c r="X55" i="27"/>
  <c r="W55" i="27"/>
  <c r="V55" i="27"/>
  <c r="U55" i="27"/>
  <c r="T55" i="27"/>
  <c r="X50" i="27"/>
  <c r="W50" i="27"/>
  <c r="V50" i="27"/>
  <c r="U50" i="27"/>
  <c r="T50" i="27"/>
  <c r="AZ20" i="27"/>
  <c r="AY20" i="27"/>
  <c r="AX20" i="27"/>
  <c r="AW20" i="27"/>
  <c r="AV20" i="27"/>
  <c r="AU20" i="27"/>
  <c r="AT20" i="27"/>
  <c r="AS20" i="27"/>
  <c r="AR20" i="27"/>
  <c r="AQ20" i="27"/>
  <c r="AP20" i="27"/>
  <c r="AO20"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J11" i="27"/>
  <c r="BI11" i="27"/>
  <c r="BH11" i="27"/>
  <c r="BG11" i="27"/>
  <c r="BF11" i="27"/>
  <c r="BE11" i="27"/>
  <c r="BD11" i="27"/>
  <c r="BC11" i="27"/>
  <c r="BB11" i="27"/>
  <c r="BA11" i="27"/>
  <c r="AZ11" i="27"/>
  <c r="AY11" i="27"/>
  <c r="AX11" i="27"/>
  <c r="AW11" i="27"/>
  <c r="AV11" i="27"/>
  <c r="AU11" i="27"/>
  <c r="AT11" i="27"/>
  <c r="AS11" i="27"/>
  <c r="C11" i="27"/>
  <c r="A9" i="27"/>
  <c r="BJ7" i="27"/>
  <c r="BI7" i="27"/>
  <c r="BH7" i="27"/>
  <c r="BG7" i="27"/>
  <c r="BF7" i="27"/>
  <c r="BE7" i="27"/>
  <c r="BD7" i="27"/>
  <c r="BC7" i="27"/>
  <c r="BB7" i="27"/>
  <c r="BA7" i="27"/>
  <c r="AZ7" i="27"/>
  <c r="AZ19" i="27" s="1"/>
  <c r="AY7" i="27"/>
  <c r="AY19" i="27" s="1"/>
  <c r="AX7" i="27"/>
  <c r="AX19" i="27"/>
  <c r="AW7" i="27"/>
  <c r="AW19" i="27" s="1"/>
  <c r="AV7" i="27"/>
  <c r="AV19" i="27" s="1"/>
  <c r="AU7" i="27"/>
  <c r="AU19" i="27" s="1"/>
  <c r="AT7" i="27"/>
  <c r="AT19" i="27"/>
  <c r="AS7" i="27"/>
  <c r="AS19" i="27" s="1"/>
  <c r="AR19" i="27"/>
  <c r="AQ19" i="27"/>
  <c r="AP19" i="27"/>
  <c r="AO19"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7" i="27"/>
  <c r="C19" i="27" s="1"/>
  <c r="A7" i="27"/>
  <c r="J40" i="6"/>
  <c r="G9" i="6"/>
  <c r="AX6" i="27" s="1"/>
  <c r="B8" i="6"/>
  <c r="B9" i="6" s="1"/>
  <c r="D5" i="8"/>
  <c r="D3" i="6"/>
  <c r="AA2" i="6"/>
  <c r="AB2" i="6" s="1"/>
  <c r="AC2" i="6" s="1"/>
  <c r="AD2" i="6" s="1"/>
  <c r="AE2" i="6" s="1"/>
  <c r="AF2" i="6" s="1"/>
  <c r="AG2" i="6" s="1"/>
  <c r="AH2" i="6" s="1"/>
  <c r="AI2" i="6" s="1"/>
  <c r="AJ2" i="6" s="1"/>
  <c r="AK2" i="6" s="1"/>
  <c r="AL2" i="6" s="1"/>
  <c r="AM2" i="6" s="1"/>
  <c r="AN2" i="6" s="1"/>
  <c r="AO2" i="6" s="1"/>
  <c r="AP2" i="6" s="1"/>
  <c r="AQ2" i="6" s="1"/>
  <c r="AR2" i="6" s="1"/>
  <c r="AS2" i="6" s="1"/>
  <c r="AT2" i="6" s="1"/>
  <c r="AU2" i="6" s="1"/>
  <c r="AV2" i="6" s="1"/>
  <c r="AW2" i="6" s="1"/>
  <c r="AX2" i="6" s="1"/>
  <c r="AY2" i="6" s="1"/>
  <c r="AZ2" i="6" s="1"/>
  <c r="BA2" i="6" s="1"/>
  <c r="BB2" i="6" s="1"/>
  <c r="A2" i="6"/>
  <c r="F61" i="32"/>
  <c r="B61" i="32"/>
  <c r="F58" i="32"/>
  <c r="B58" i="32"/>
  <c r="F55" i="32"/>
  <c r="B55" i="32"/>
  <c r="F52" i="32"/>
  <c r="B52" i="32"/>
  <c r="F49" i="32"/>
  <c r="B49" i="32"/>
  <c r="F46" i="32"/>
  <c r="B46" i="32"/>
  <c r="B44" i="15"/>
  <c r="B33" i="15"/>
  <c r="B34" i="15" s="1"/>
  <c r="Q26" i="15"/>
  <c r="Q23" i="15"/>
  <c r="Q17" i="15"/>
  <c r="B15" i="15"/>
  <c r="J4" i="48"/>
  <c r="L4" i="48" s="1"/>
  <c r="M40" i="27"/>
  <c r="J8" i="48"/>
  <c r="L8" i="48"/>
  <c r="J24" i="48"/>
  <c r="L24" i="48"/>
  <c r="J17" i="48"/>
  <c r="L17" i="48"/>
  <c r="H218" i="8"/>
  <c r="H254" i="8"/>
  <c r="C44" i="3"/>
  <c r="I254" i="8"/>
  <c r="J14" i="48"/>
  <c r="L14" i="48" s="1"/>
  <c r="V36" i="48"/>
  <c r="B36" i="40"/>
  <c r="G243" i="8"/>
  <c r="O26" i="48"/>
  <c r="F46" i="3"/>
  <c r="C54" i="3" s="1"/>
  <c r="J16" i="48"/>
  <c r="L16" i="48" s="1"/>
  <c r="K206" i="8"/>
  <c r="K230" i="8"/>
  <c r="Q4" i="27"/>
  <c r="I206" i="8"/>
  <c r="I230" i="8"/>
  <c r="K254" i="8"/>
  <c r="N4" i="5"/>
  <c r="N13" i="5" s="1"/>
  <c r="C8" i="8"/>
  <c r="B8" i="8"/>
  <c r="G4" i="27"/>
  <c r="N4" i="27"/>
  <c r="F4" i="27"/>
  <c r="M4" i="27"/>
  <c r="T4" i="27"/>
  <c r="L4" i="27"/>
  <c r="H17" i="27"/>
  <c r="S4" i="27"/>
  <c r="C4" i="27"/>
  <c r="J4" i="27"/>
  <c r="H4" i="27"/>
  <c r="B4" i="5"/>
  <c r="B13" i="5" s="1"/>
  <c r="C4" i="5"/>
  <c r="C13" i="5" s="1"/>
  <c r="E4" i="5"/>
  <c r="E13" i="5" s="1"/>
  <c r="O4" i="27"/>
  <c r="C45" i="3"/>
  <c r="I4" i="27"/>
  <c r="P4" i="27"/>
  <c r="J11" i="48"/>
  <c r="L11" i="48"/>
  <c r="I36" i="48"/>
  <c r="L206" i="8"/>
  <c r="N206" i="8" s="1"/>
  <c r="L242" i="8"/>
  <c r="L254" i="8"/>
  <c r="J5" i="48"/>
  <c r="L5" i="48" s="1"/>
  <c r="C36" i="48"/>
  <c r="J9" i="48"/>
  <c r="L9" i="48"/>
  <c r="G36" i="48"/>
  <c r="J19" i="48"/>
  <c r="L19" i="48" s="1"/>
  <c r="J13" i="48"/>
  <c r="L13" i="48" s="1"/>
  <c r="K36" i="48"/>
  <c r="J21" i="48"/>
  <c r="L21" i="48" s="1"/>
  <c r="S36" i="48"/>
  <c r="H36" i="48"/>
  <c r="P36" i="48"/>
  <c r="J18" i="48"/>
  <c r="L18" i="48" s="1"/>
  <c r="J20" i="48"/>
  <c r="L20" i="48" s="1"/>
  <c r="J25" i="48"/>
  <c r="L25" i="48" s="1"/>
  <c r="O36" i="48"/>
  <c r="E36" i="48"/>
  <c r="J7" i="48"/>
  <c r="L7" i="48" s="1"/>
  <c r="M36" i="48"/>
  <c r="J15" i="48"/>
  <c r="L15" i="48" s="1"/>
  <c r="U36" i="48"/>
  <c r="J23" i="48"/>
  <c r="L23" i="48"/>
  <c r="M206" i="8"/>
  <c r="N254" i="8"/>
  <c r="M254" i="8"/>
  <c r="L255" i="8"/>
  <c r="L256" i="8" s="1"/>
  <c r="L257" i="8"/>
  <c r="L258" i="8" s="1"/>
  <c r="L259" i="8" s="1"/>
  <c r="L260" i="8" s="1"/>
  <c r="M255" i="8"/>
  <c r="N255" i="8"/>
  <c r="N256" i="8" s="1"/>
  <c r="N257" i="8" s="1"/>
  <c r="N258" i="8" s="1"/>
  <c r="N259" i="8" s="1"/>
  <c r="N260" i="8" s="1"/>
  <c r="A3" i="47" l="1"/>
  <c r="J8" i="55" s="1"/>
  <c r="M256" i="8"/>
  <c r="M257" i="8" s="1"/>
  <c r="M258" i="8" s="1"/>
  <c r="M259" i="8" s="1"/>
  <c r="M260" i="8" s="1"/>
  <c r="N230" i="8"/>
  <c r="L231" i="8"/>
  <c r="L232" i="8" s="1"/>
  <c r="L233" i="8" s="1"/>
  <c r="L234" i="8" s="1"/>
  <c r="L235" i="8" s="1"/>
  <c r="L236" i="8" s="1"/>
  <c r="L237" i="8" s="1"/>
  <c r="L238" i="8" s="1"/>
  <c r="L239" i="8" s="1"/>
  <c r="L240" i="8" s="1"/>
  <c r="L241" i="8" s="1"/>
  <c r="M230" i="8"/>
  <c r="K4" i="27"/>
  <c r="U4" i="27"/>
  <c r="W4" i="27"/>
  <c r="X4" i="27"/>
  <c r="J207" i="8"/>
  <c r="J208" i="8" s="1"/>
  <c r="J209" i="8" s="1"/>
  <c r="J210" i="8" s="1"/>
  <c r="J211" i="8" s="1"/>
  <c r="J212" i="8" s="1"/>
  <c r="J213" i="8" s="1"/>
  <c r="J214" i="8" s="1"/>
  <c r="J215" i="8" s="1"/>
  <c r="J216" i="8" s="1"/>
  <c r="J217" i="8" s="1"/>
  <c r="D4" i="27"/>
  <c r="V4" i="27"/>
  <c r="K218" i="8"/>
  <c r="H230" i="8"/>
  <c r="G219" i="8"/>
  <c r="G207" i="8"/>
  <c r="L218" i="8"/>
  <c r="N218" i="8" s="1"/>
  <c r="N219" i="8" s="1"/>
  <c r="N220" i="8" s="1"/>
  <c r="N221" i="8" s="1"/>
  <c r="N222" i="8" s="1"/>
  <c r="N223" i="8" s="1"/>
  <c r="N224" i="8" s="1"/>
  <c r="N225" i="8" s="1"/>
  <c r="N226" i="8" s="1"/>
  <c r="N227" i="8" s="1"/>
  <c r="N228" i="8" s="1"/>
  <c r="N229" i="8" s="1"/>
  <c r="R4" i="27"/>
  <c r="E4" i="27"/>
  <c r="E5" i="8"/>
  <c r="AU6" i="27"/>
  <c r="E5" i="27"/>
  <c r="I5" i="27"/>
  <c r="J6" i="27"/>
  <c r="AF6" i="27"/>
  <c r="AM6" i="27"/>
  <c r="AT6" i="27"/>
  <c r="D5" i="27"/>
  <c r="D6" i="27"/>
  <c r="C6" i="27"/>
  <c r="L6" i="27"/>
  <c r="M6" i="27"/>
  <c r="B27" i="15"/>
  <c r="B24" i="15" s="1"/>
  <c r="B26" i="15"/>
  <c r="X5" i="27"/>
  <c r="Q6" i="27"/>
  <c r="X6" i="27"/>
  <c r="AE6" i="27"/>
  <c r="AL6" i="27"/>
  <c r="AY6" i="27"/>
  <c r="AN6" i="27"/>
  <c r="L5" i="27"/>
  <c r="P5" i="27"/>
  <c r="I6" i="27"/>
  <c r="P6" i="27"/>
  <c r="W6" i="27"/>
  <c r="AD6" i="27"/>
  <c r="Q5" i="27"/>
  <c r="K5" i="27"/>
  <c r="AZ6" i="27"/>
  <c r="AK6" i="27"/>
  <c r="AP6" i="27"/>
  <c r="H5" i="27"/>
  <c r="W5" i="27"/>
  <c r="H6" i="27"/>
  <c r="O6" i="27"/>
  <c r="V6" i="27"/>
  <c r="AQ6" i="27"/>
  <c r="AC6" i="27"/>
  <c r="AB6" i="27"/>
  <c r="AH6" i="27"/>
  <c r="AW6" i="27"/>
  <c r="O5" i="27"/>
  <c r="V5" i="27"/>
  <c r="G6" i="27"/>
  <c r="N6" i="27"/>
  <c r="AS6" i="27"/>
  <c r="C5" i="27"/>
  <c r="T6" i="27"/>
  <c r="K6" i="27"/>
  <c r="S6" i="27"/>
  <c r="Z6" i="27"/>
  <c r="AO6" i="27"/>
  <c r="G5" i="27"/>
  <c r="N5" i="27"/>
  <c r="U5" i="27"/>
  <c r="F6" i="27"/>
  <c r="AJ6" i="27"/>
  <c r="AR6" i="27"/>
  <c r="J5" i="27"/>
  <c r="E6" i="27"/>
  <c r="Y6" i="27"/>
  <c r="U6" i="27"/>
  <c r="R6" i="27"/>
  <c r="AG6" i="27"/>
  <c r="AV6" i="27"/>
  <c r="F5" i="27"/>
  <c r="M5" i="27"/>
  <c r="M45" i="27" s="1"/>
  <c r="T5" i="27"/>
  <c r="T47" i="27" s="1"/>
  <c r="AA6" i="27"/>
  <c r="AI6" i="27"/>
  <c r="S5" i="27"/>
  <c r="R5" i="27"/>
  <c r="BC2" i="6"/>
  <c r="BD2" i="6" s="1"/>
  <c r="BE2" i="6" s="1"/>
  <c r="BF2" i="6" s="1"/>
  <c r="BG2" i="6" s="1"/>
  <c r="BH2" i="6" s="1"/>
  <c r="BI2" i="6" s="1"/>
  <c r="BJ2" i="6" s="1"/>
  <c r="BK2" i="6" s="1"/>
  <c r="BL2" i="6" s="1"/>
  <c r="BM2" i="6" s="1"/>
  <c r="BN2" i="6" s="1"/>
  <c r="BO2" i="6" s="1"/>
  <c r="BP2" i="6" s="1"/>
  <c r="BQ2" i="6" s="1"/>
  <c r="BR2" i="6" s="1"/>
  <c r="BS2" i="6" s="1"/>
  <c r="BT2" i="6" s="1"/>
  <c r="BU2" i="6" s="1"/>
  <c r="BV2" i="6" s="1"/>
  <c r="BW2" i="6" s="1"/>
  <c r="BX2" i="6" s="1"/>
  <c r="BY2" i="6" s="1"/>
  <c r="BZ2" i="6" s="1"/>
  <c r="CA2" i="6" s="1"/>
  <c r="CB2" i="6" s="1"/>
  <c r="CC2" i="6" s="1"/>
  <c r="CD2" i="6" s="1"/>
  <c r="B44" i="8"/>
  <c r="B5" i="8"/>
  <c r="C5" i="8" s="1"/>
  <c r="B43" i="8"/>
  <c r="B42" i="8"/>
  <c r="B41" i="8"/>
  <c r="N242" i="8"/>
  <c r="N243" i="8" s="1"/>
  <c r="N244" i="8" s="1"/>
  <c r="N245" i="8" s="1"/>
  <c r="N246" i="8" s="1"/>
  <c r="N247" i="8" s="1"/>
  <c r="N248" i="8" s="1"/>
  <c r="N249" i="8" s="1"/>
  <c r="N250" i="8" s="1"/>
  <c r="N251" i="8" s="1"/>
  <c r="N252" i="8" s="1"/>
  <c r="N253" i="8" s="1"/>
  <c r="M242" i="8"/>
  <c r="L243" i="8"/>
  <c r="L244" i="8" s="1"/>
  <c r="L245" i="8" s="1"/>
  <c r="L246" i="8" s="1"/>
  <c r="L247" i="8" s="1"/>
  <c r="L248" i="8" s="1"/>
  <c r="L249" i="8" s="1"/>
  <c r="L250" i="8" s="1"/>
  <c r="L251" i="8" s="1"/>
  <c r="L252" i="8" s="1"/>
  <c r="L253" i="8" s="1"/>
  <c r="B1" i="8"/>
  <c r="J41" i="6"/>
  <c r="AQ54" i="3"/>
  <c r="H242" i="8"/>
  <c r="K242" i="8"/>
  <c r="I242" i="8"/>
  <c r="G231" i="8"/>
  <c r="H243" i="8"/>
  <c r="K243" i="8"/>
  <c r="I243" i="8"/>
  <c r="G244" i="8"/>
  <c r="H255" i="8"/>
  <c r="G256" i="8"/>
  <c r="K255" i="8"/>
  <c r="I255" i="8"/>
  <c r="M48" i="27"/>
  <c r="M51" i="27"/>
  <c r="M46" i="27"/>
  <c r="M49" i="27"/>
  <c r="M56" i="27" s="1"/>
  <c r="J36" i="48"/>
  <c r="T36" i="48"/>
  <c r="J6" i="48"/>
  <c r="L6" i="48" s="1"/>
  <c r="R12" i="3"/>
  <c r="C58" i="27"/>
  <c r="AA6" i="6" s="1"/>
  <c r="B14" i="6" s="1"/>
  <c r="C59" i="27"/>
  <c r="AA7" i="6" s="1"/>
  <c r="B15" i="6" s="1"/>
  <c r="G5" i="55"/>
  <c r="G6" i="55" s="1"/>
  <c r="G7" i="55" s="1"/>
  <c r="G8" i="55" s="1"/>
  <c r="G9" i="55" s="1"/>
  <c r="G10" i="55" s="1"/>
  <c r="G11" i="55" s="1"/>
  <c r="G12" i="55" s="1"/>
  <c r="G13" i="55" s="1"/>
  <c r="G14" i="55" s="1"/>
  <c r="G15" i="55" s="1"/>
  <c r="G16" i="55" s="1"/>
  <c r="G17" i="55" s="1"/>
  <c r="G18" i="55" s="1"/>
  <c r="G19" i="55" s="1"/>
  <c r="G20" i="55" s="1"/>
  <c r="G21" i="55" s="1"/>
  <c r="G22" i="55" s="1"/>
  <c r="G23" i="55" s="1"/>
  <c r="G24" i="55" s="1"/>
  <c r="G25" i="55" s="1"/>
  <c r="G26" i="55" s="1"/>
  <c r="G27" i="55" s="1"/>
  <c r="G28" i="55" s="1"/>
  <c r="G29" i="55" s="1"/>
  <c r="G30" i="55" s="1"/>
  <c r="G31" i="55" s="1"/>
  <c r="G32" i="55" s="1"/>
  <c r="G33" i="55" s="1"/>
  <c r="G34" i="55" s="1"/>
  <c r="G35" i="55" s="1"/>
  <c r="G36" i="55" s="1"/>
  <c r="G37" i="55" s="1"/>
  <c r="G38" i="55" s="1"/>
  <c r="G39" i="55" s="1"/>
  <c r="G40" i="55" s="1"/>
  <c r="G41" i="55" s="1"/>
  <c r="G42" i="55" s="1"/>
  <c r="G43" i="55" s="1"/>
  <c r="G44" i="55" s="1"/>
  <c r="G45" i="55" s="1"/>
  <c r="G46" i="55" s="1"/>
  <c r="G47" i="55" s="1"/>
  <c r="G48" i="55" s="1"/>
  <c r="G49" i="55" s="1"/>
  <c r="G50" i="55" s="1"/>
  <c r="G51" i="55" s="1"/>
  <c r="G52" i="55" s="1"/>
  <c r="G53" i="55" s="1"/>
  <c r="G54" i="55" s="1"/>
  <c r="G55" i="55" s="1"/>
  <c r="G56" i="55" s="1"/>
  <c r="G57" i="55" s="1"/>
  <c r="G58" i="55" s="1"/>
  <c r="G59" i="55" s="1"/>
  <c r="G60" i="55" s="1"/>
  <c r="G61" i="55" s="1"/>
  <c r="G62" i="55" s="1"/>
  <c r="G63" i="55" s="1"/>
  <c r="G64" i="55" s="1"/>
  <c r="H4" i="55"/>
  <c r="H5" i="55" l="1"/>
  <c r="A4" i="47"/>
  <c r="J9" i="55" s="1"/>
  <c r="I207" i="8"/>
  <c r="H207" i="8"/>
  <c r="K207" i="8"/>
  <c r="G208" i="8"/>
  <c r="H219" i="8"/>
  <c r="G220" i="8"/>
  <c r="K219" i="8"/>
  <c r="I219" i="8"/>
  <c r="L219" i="8"/>
  <c r="L220" i="8" s="1"/>
  <c r="L221" i="8" s="1"/>
  <c r="L222" i="8" s="1"/>
  <c r="L223" i="8" s="1"/>
  <c r="L224" i="8" s="1"/>
  <c r="L225" i="8" s="1"/>
  <c r="L226" i="8" s="1"/>
  <c r="L227" i="8" s="1"/>
  <c r="L228" i="8" s="1"/>
  <c r="L229" i="8" s="1"/>
  <c r="M218" i="8"/>
  <c r="L207" i="8"/>
  <c r="L208" i="8" s="1"/>
  <c r="L209" i="8" s="1"/>
  <c r="L210" i="8" s="1"/>
  <c r="L211" i="8" s="1"/>
  <c r="L212" i="8" s="1"/>
  <c r="L213" i="8" s="1"/>
  <c r="L214" i="8" s="1"/>
  <c r="L215" i="8" s="1"/>
  <c r="L216" i="8" s="1"/>
  <c r="L217" i="8" s="1"/>
  <c r="N207" i="8"/>
  <c r="N208" i="8" s="1"/>
  <c r="N209" i="8" s="1"/>
  <c r="N210" i="8" s="1"/>
  <c r="N211" i="8" s="1"/>
  <c r="N212" i="8" s="1"/>
  <c r="N213" i="8" s="1"/>
  <c r="N214" i="8" s="1"/>
  <c r="N215" i="8" s="1"/>
  <c r="N216" i="8" s="1"/>
  <c r="N217" i="8" s="1"/>
  <c r="M47" i="27"/>
  <c r="B13" i="6"/>
  <c r="B12" i="6"/>
  <c r="B11" i="6"/>
  <c r="C7" i="40" s="1"/>
  <c r="S48" i="27"/>
  <c r="S51" i="27"/>
  <c r="S49" i="27"/>
  <c r="S56" i="27" s="1"/>
  <c r="S45" i="27"/>
  <c r="S47" i="27"/>
  <c r="S46" i="27"/>
  <c r="H49" i="27"/>
  <c r="H56" i="27" s="1"/>
  <c r="H51" i="27"/>
  <c r="H48" i="27"/>
  <c r="J257" i="8"/>
  <c r="J260" i="8"/>
  <c r="J256" i="8"/>
  <c r="J258" i="8"/>
  <c r="J259" i="8"/>
  <c r="J255" i="8"/>
  <c r="N47" i="27"/>
  <c r="N46" i="27"/>
  <c r="N45" i="27"/>
  <c r="N49" i="27"/>
  <c r="N56" i="27" s="1"/>
  <c r="N51" i="27"/>
  <c r="N48" i="27"/>
  <c r="C48" i="27"/>
  <c r="C51" i="27"/>
  <c r="L2" i="8"/>
  <c r="D49" i="27"/>
  <c r="D56" i="27" s="1"/>
  <c r="D48" i="27"/>
  <c r="D51" i="27"/>
  <c r="G49" i="27"/>
  <c r="G56" i="27" s="1"/>
  <c r="G51" i="27"/>
  <c r="G48" i="27"/>
  <c r="P51" i="27"/>
  <c r="P47" i="27"/>
  <c r="P46" i="27"/>
  <c r="P45" i="27"/>
  <c r="P49" i="27"/>
  <c r="P56" i="27" s="1"/>
  <c r="P48" i="27"/>
  <c r="L45" i="27"/>
  <c r="L47" i="27"/>
  <c r="L49" i="27"/>
  <c r="L56" i="27" s="1"/>
  <c r="L48" i="27"/>
  <c r="L46" i="27"/>
  <c r="L51" i="27"/>
  <c r="J51" i="27"/>
  <c r="J49" i="27"/>
  <c r="J56" i="27" s="1"/>
  <c r="J48" i="27"/>
  <c r="K48" i="27"/>
  <c r="K49" i="27"/>
  <c r="K56" i="27" s="1"/>
  <c r="K51" i="27"/>
  <c r="F49" i="27"/>
  <c r="F56" i="27" s="1"/>
  <c r="F51" i="27"/>
  <c r="F48" i="27"/>
  <c r="Q46" i="27"/>
  <c r="Q48" i="27"/>
  <c r="Q49" i="27"/>
  <c r="Q56" i="27" s="1"/>
  <c r="Q51" i="27"/>
  <c r="Q45" i="27"/>
  <c r="Q47" i="27"/>
  <c r="O49" i="27"/>
  <c r="O56" i="27" s="1"/>
  <c r="O48" i="27"/>
  <c r="O51" i="27"/>
  <c r="O47" i="27"/>
  <c r="O46" i="27"/>
  <c r="O45" i="27"/>
  <c r="I48" i="27"/>
  <c r="I49" i="27"/>
  <c r="I56" i="27" s="1"/>
  <c r="I51" i="27"/>
  <c r="R51" i="27"/>
  <c r="R45" i="27"/>
  <c r="R46" i="27"/>
  <c r="R47" i="27"/>
  <c r="R48" i="27"/>
  <c r="R49" i="27"/>
  <c r="R56" i="27" s="1"/>
  <c r="E49" i="27"/>
  <c r="E56" i="27" s="1"/>
  <c r="E48" i="27"/>
  <c r="E51" i="27"/>
  <c r="C23" i="8"/>
  <c r="C10" i="8"/>
  <c r="C33" i="8"/>
  <c r="M207" i="8"/>
  <c r="M208" i="8" s="1"/>
  <c r="M209" i="8" s="1"/>
  <c r="M210" i="8" s="1"/>
  <c r="M211" i="8" s="1"/>
  <c r="M212" i="8" s="1"/>
  <c r="M213" i="8" s="1"/>
  <c r="M214" i="8" s="1"/>
  <c r="M215" i="8" s="1"/>
  <c r="M216" i="8" s="1"/>
  <c r="M217" i="8" s="1"/>
  <c r="M219" i="8"/>
  <c r="M220" i="8" s="1"/>
  <c r="M221" i="8" s="1"/>
  <c r="M222" i="8" s="1"/>
  <c r="M223" i="8" s="1"/>
  <c r="M224" i="8" s="1"/>
  <c r="M225" i="8" s="1"/>
  <c r="M226" i="8" s="1"/>
  <c r="M227" i="8" s="1"/>
  <c r="M228" i="8" s="1"/>
  <c r="M229" i="8" s="1"/>
  <c r="C38" i="8"/>
  <c r="I256" i="8"/>
  <c r="G257" i="8"/>
  <c r="K256" i="8"/>
  <c r="H256" i="8"/>
  <c r="K231" i="8"/>
  <c r="I231" i="8"/>
  <c r="H231" i="8"/>
  <c r="G232" i="8"/>
  <c r="C17" i="8"/>
  <c r="G122" i="8"/>
  <c r="M50" i="27"/>
  <c r="M243" i="8"/>
  <c r="M244" i="8" s="1"/>
  <c r="M245" i="8" s="1"/>
  <c r="M246" i="8" s="1"/>
  <c r="M247" i="8" s="1"/>
  <c r="M248" i="8" s="1"/>
  <c r="M249" i="8" s="1"/>
  <c r="M250" i="8" s="1"/>
  <c r="M251" i="8" s="1"/>
  <c r="M252" i="8" s="1"/>
  <c r="M253" i="8" s="1"/>
  <c r="M231" i="8"/>
  <c r="M232" i="8" s="1"/>
  <c r="M233" i="8" s="1"/>
  <c r="M234" i="8" s="1"/>
  <c r="M235" i="8" s="1"/>
  <c r="M236" i="8" s="1"/>
  <c r="M237" i="8" s="1"/>
  <c r="M238" i="8" s="1"/>
  <c r="M239" i="8" s="1"/>
  <c r="M240" i="8" s="1"/>
  <c r="M241" i="8" s="1"/>
  <c r="C32" i="8"/>
  <c r="M55" i="27"/>
  <c r="J122" i="8"/>
  <c r="H244" i="8"/>
  <c r="K244" i="8"/>
  <c r="I244" i="8"/>
  <c r="G245" i="8"/>
  <c r="N231" i="8"/>
  <c r="N232" i="8" s="1"/>
  <c r="N233" i="8" s="1"/>
  <c r="N234" i="8" s="1"/>
  <c r="N235" i="8" s="1"/>
  <c r="N236" i="8" s="1"/>
  <c r="N237" i="8" s="1"/>
  <c r="N238" i="8" s="1"/>
  <c r="N239" i="8" s="1"/>
  <c r="N240" i="8" s="1"/>
  <c r="N241" i="8" s="1"/>
  <c r="C37" i="8"/>
  <c r="C28" i="8"/>
  <c r="C11" i="8"/>
  <c r="C27" i="8"/>
  <c r="C22" i="8"/>
  <c r="C18" i="8"/>
  <c r="F2" i="47"/>
  <c r="AB7" i="6"/>
  <c r="F3" i="47"/>
  <c r="AB6" i="6"/>
  <c r="D2" i="47"/>
  <c r="D3" i="47"/>
  <c r="E51" i="3" l="1"/>
  <c r="F4" i="47"/>
  <c r="D4" i="47"/>
  <c r="A5" i="47"/>
  <c r="J10" i="55" s="1"/>
  <c r="H220" i="8"/>
  <c r="G221" i="8"/>
  <c r="I220" i="8"/>
  <c r="K220" i="8"/>
  <c r="I208" i="8"/>
  <c r="H208" i="8"/>
  <c r="G209" i="8"/>
  <c r="K208" i="8"/>
  <c r="I55" i="27"/>
  <c r="J74" i="8"/>
  <c r="G98" i="8"/>
  <c r="K50" i="27"/>
  <c r="L55" i="27"/>
  <c r="J110" i="8"/>
  <c r="J111" i="8" s="1"/>
  <c r="J112" i="8" s="1"/>
  <c r="J113" i="8" s="1"/>
  <c r="J114" i="8" s="1"/>
  <c r="J115" i="8" s="1"/>
  <c r="J116" i="8" s="1"/>
  <c r="J117" i="8" s="1"/>
  <c r="J118" i="8" s="1"/>
  <c r="J119" i="8" s="1"/>
  <c r="J120" i="8" s="1"/>
  <c r="J121" i="8" s="1"/>
  <c r="M2" i="8"/>
  <c r="N2" i="8"/>
  <c r="H50" i="27"/>
  <c r="G62" i="8"/>
  <c r="J182" i="8"/>
  <c r="R55" i="27"/>
  <c r="Q50" i="27"/>
  <c r="G170" i="8"/>
  <c r="P50" i="27"/>
  <c r="G158" i="8"/>
  <c r="C50" i="27"/>
  <c r="G2" i="8"/>
  <c r="J98" i="8"/>
  <c r="K55" i="27"/>
  <c r="G55" i="27"/>
  <c r="J50" i="8"/>
  <c r="C55" i="27"/>
  <c r="J2" i="8"/>
  <c r="J170" i="8"/>
  <c r="Q55" i="27"/>
  <c r="J86" i="8"/>
  <c r="J87" i="8" s="1"/>
  <c r="J88" i="8" s="1"/>
  <c r="J89" i="8" s="1"/>
  <c r="J90" i="8" s="1"/>
  <c r="J91" i="8" s="1"/>
  <c r="J92" i="8" s="1"/>
  <c r="J93" i="8" s="1"/>
  <c r="J94" i="8" s="1"/>
  <c r="J95" i="8" s="1"/>
  <c r="J96" i="8" s="1"/>
  <c r="J97" i="8" s="1"/>
  <c r="J55" i="27"/>
  <c r="G50" i="8"/>
  <c r="G50" i="27"/>
  <c r="J134" i="8"/>
  <c r="J123" i="8" s="1"/>
  <c r="J124" i="8" s="1"/>
  <c r="J125" i="8" s="1"/>
  <c r="J126" i="8" s="1"/>
  <c r="J127" i="8" s="1"/>
  <c r="J128" i="8" s="1"/>
  <c r="J129" i="8" s="1"/>
  <c r="J130" i="8" s="1"/>
  <c r="J131" i="8" s="1"/>
  <c r="J132" i="8" s="1"/>
  <c r="J133" i="8" s="1"/>
  <c r="N55" i="27"/>
  <c r="G146" i="8"/>
  <c r="O50" i="27"/>
  <c r="J158" i="8"/>
  <c r="J159" i="8" s="1"/>
  <c r="J160" i="8" s="1"/>
  <c r="J161" i="8" s="1"/>
  <c r="J162" i="8" s="1"/>
  <c r="J163" i="8" s="1"/>
  <c r="J164" i="8" s="1"/>
  <c r="J165" i="8" s="1"/>
  <c r="J166" i="8" s="1"/>
  <c r="J167" i="8" s="1"/>
  <c r="J168" i="8" s="1"/>
  <c r="J169" i="8" s="1"/>
  <c r="P55" i="27"/>
  <c r="G134" i="8"/>
  <c r="G123" i="8" s="1"/>
  <c r="N50" i="27"/>
  <c r="G26" i="8"/>
  <c r="E50" i="27"/>
  <c r="R50" i="27"/>
  <c r="G182" i="8"/>
  <c r="J146" i="8"/>
  <c r="J147" i="8" s="1"/>
  <c r="J148" i="8" s="1"/>
  <c r="J149" i="8" s="1"/>
  <c r="J150" i="8" s="1"/>
  <c r="J151" i="8" s="1"/>
  <c r="J152" i="8" s="1"/>
  <c r="J153" i="8" s="1"/>
  <c r="J154" i="8" s="1"/>
  <c r="J155" i="8" s="1"/>
  <c r="J156" i="8" s="1"/>
  <c r="J157" i="8" s="1"/>
  <c r="O55" i="27"/>
  <c r="F55" i="27"/>
  <c r="J38" i="8"/>
  <c r="J39" i="8" s="1"/>
  <c r="J40" i="8" s="1"/>
  <c r="J41" i="8" s="1"/>
  <c r="J42" i="8" s="1"/>
  <c r="J43" i="8" s="1"/>
  <c r="J44" i="8" s="1"/>
  <c r="J45" i="8" s="1"/>
  <c r="J46" i="8" s="1"/>
  <c r="J47" i="8" s="1"/>
  <c r="J48" i="8" s="1"/>
  <c r="J49" i="8" s="1"/>
  <c r="G86" i="8"/>
  <c r="J50" i="27"/>
  <c r="G14" i="8"/>
  <c r="D50" i="27"/>
  <c r="E12" i="8"/>
  <c r="BG4" i="6"/>
  <c r="BH4" i="6" s="1"/>
  <c r="BI4" i="6" s="1"/>
  <c r="BJ4" i="6" s="1"/>
  <c r="AI4" i="6"/>
  <c r="AJ4" i="6" s="1"/>
  <c r="AK4" i="6" s="1"/>
  <c r="AL4" i="6" s="1"/>
  <c r="AE4" i="6"/>
  <c r="AF4" i="6" s="1"/>
  <c r="AG4" i="6" s="1"/>
  <c r="AH4" i="6" s="1"/>
  <c r="AA4" i="6"/>
  <c r="AB4" i="6" s="1"/>
  <c r="AC4" i="6" s="1"/>
  <c r="AD4" i="6" s="1"/>
  <c r="BC4" i="6"/>
  <c r="BD4" i="6" s="1"/>
  <c r="BE4" i="6" s="1"/>
  <c r="BF4" i="6" s="1"/>
  <c r="AY4" i="6"/>
  <c r="AZ4" i="6" s="1"/>
  <c r="BA4" i="6" s="1"/>
  <c r="BB4" i="6" s="1"/>
  <c r="AU4" i="6"/>
  <c r="AV4" i="6" s="1"/>
  <c r="AW4" i="6" s="1"/>
  <c r="AX4" i="6" s="1"/>
  <c r="BS4" i="6"/>
  <c r="BT4" i="6" s="1"/>
  <c r="BU4" i="6" s="1"/>
  <c r="BV4" i="6" s="1"/>
  <c r="CA4" i="6"/>
  <c r="CB4" i="6" s="1"/>
  <c r="CC4" i="6" s="1"/>
  <c r="CD4" i="6" s="1"/>
  <c r="BO4" i="6"/>
  <c r="BP4" i="6" s="1"/>
  <c r="BQ4" i="6" s="1"/>
  <c r="BR4" i="6" s="1"/>
  <c r="AQ4" i="6"/>
  <c r="AR4" i="6" s="1"/>
  <c r="AS4" i="6" s="1"/>
  <c r="AT4" i="6" s="1"/>
  <c r="AM4" i="6"/>
  <c r="AN4" i="6" s="1"/>
  <c r="AO4" i="6" s="1"/>
  <c r="AP4" i="6" s="1"/>
  <c r="BW4" i="6"/>
  <c r="BX4" i="6" s="1"/>
  <c r="BY4" i="6" s="1"/>
  <c r="BZ4" i="6" s="1"/>
  <c r="BK4" i="6"/>
  <c r="BL4" i="6" s="1"/>
  <c r="BM4" i="6" s="1"/>
  <c r="BN4" i="6" s="1"/>
  <c r="E55" i="27"/>
  <c r="J26" i="8"/>
  <c r="G74" i="8"/>
  <c r="I50" i="27"/>
  <c r="F50" i="27"/>
  <c r="G38" i="8"/>
  <c r="L50" i="27"/>
  <c r="G110" i="8"/>
  <c r="J14" i="8"/>
  <c r="D55" i="27"/>
  <c r="G194" i="8"/>
  <c r="S50" i="27"/>
  <c r="H55" i="27"/>
  <c r="J62" i="8"/>
  <c r="J63" i="8" s="1"/>
  <c r="J64" i="8" s="1"/>
  <c r="J65" i="8" s="1"/>
  <c r="J66" i="8" s="1"/>
  <c r="J67" i="8" s="1"/>
  <c r="J68" i="8" s="1"/>
  <c r="J69" i="8" s="1"/>
  <c r="J70" i="8" s="1"/>
  <c r="J71" i="8" s="1"/>
  <c r="J72" i="8" s="1"/>
  <c r="J73" i="8" s="1"/>
  <c r="J194" i="8"/>
  <c r="J195" i="8" s="1"/>
  <c r="J196" i="8" s="1"/>
  <c r="J197" i="8" s="1"/>
  <c r="J198" i="8" s="1"/>
  <c r="J199" i="8" s="1"/>
  <c r="J200" i="8" s="1"/>
  <c r="J201" i="8" s="1"/>
  <c r="J202" i="8" s="1"/>
  <c r="J203" i="8" s="1"/>
  <c r="J204" i="8" s="1"/>
  <c r="J205" i="8" s="1"/>
  <c r="S55" i="27"/>
  <c r="K122" i="8"/>
  <c r="L122" i="8"/>
  <c r="I122" i="8"/>
  <c r="H122" i="8"/>
  <c r="G111" i="8"/>
  <c r="I257" i="8"/>
  <c r="G258" i="8"/>
  <c r="K257" i="8"/>
  <c r="H257" i="8"/>
  <c r="H245" i="8"/>
  <c r="G246" i="8"/>
  <c r="I245" i="8"/>
  <c r="K245" i="8"/>
  <c r="K232" i="8"/>
  <c r="I232" i="8"/>
  <c r="H232" i="8"/>
  <c r="G233" i="8"/>
  <c r="AC7" i="6"/>
  <c r="AC6" i="6"/>
  <c r="A6" i="47" l="1"/>
  <c r="J11" i="55" s="1"/>
  <c r="D5" i="47"/>
  <c r="F5" i="47"/>
  <c r="I209" i="8"/>
  <c r="K209" i="8"/>
  <c r="H209" i="8"/>
  <c r="G210" i="8"/>
  <c r="K221" i="8"/>
  <c r="I221" i="8"/>
  <c r="H221" i="8"/>
  <c r="G222" i="8"/>
  <c r="J171" i="8"/>
  <c r="J172" i="8" s="1"/>
  <c r="J173" i="8" s="1"/>
  <c r="J174" i="8" s="1"/>
  <c r="J175" i="8" s="1"/>
  <c r="J176" i="8" s="1"/>
  <c r="J177" i="8" s="1"/>
  <c r="J178" i="8" s="1"/>
  <c r="J179" i="8" s="1"/>
  <c r="J180" i="8" s="1"/>
  <c r="J181" i="8" s="1"/>
  <c r="J27" i="8"/>
  <c r="J28" i="8" s="1"/>
  <c r="J29" i="8" s="1"/>
  <c r="J30" i="8" s="1"/>
  <c r="J31" i="8" s="1"/>
  <c r="J32" i="8" s="1"/>
  <c r="J33" i="8" s="1"/>
  <c r="J34" i="8" s="1"/>
  <c r="J35" i="8" s="1"/>
  <c r="J36" i="8" s="1"/>
  <c r="J37" i="8" s="1"/>
  <c r="H158" i="8"/>
  <c r="L158" i="8"/>
  <c r="K158" i="8"/>
  <c r="I158" i="8"/>
  <c r="G159" i="8"/>
  <c r="L38" i="8"/>
  <c r="K38" i="8"/>
  <c r="H38" i="8"/>
  <c r="I38" i="8"/>
  <c r="G39" i="8"/>
  <c r="H86" i="8"/>
  <c r="L86" i="8"/>
  <c r="I86" i="8"/>
  <c r="G87" i="8"/>
  <c r="K86" i="8"/>
  <c r="I26" i="8"/>
  <c r="H26" i="8"/>
  <c r="L26" i="8"/>
  <c r="K26" i="8"/>
  <c r="G27" i="8"/>
  <c r="J135" i="8"/>
  <c r="J136" i="8" s="1"/>
  <c r="J137" i="8" s="1"/>
  <c r="J138" i="8" s="1"/>
  <c r="J139" i="8" s="1"/>
  <c r="J140" i="8" s="1"/>
  <c r="J141" i="8" s="1"/>
  <c r="J142" i="8" s="1"/>
  <c r="J143" i="8" s="1"/>
  <c r="J144" i="8" s="1"/>
  <c r="J145" i="8" s="1"/>
  <c r="J51" i="8"/>
  <c r="J52" i="8" s="1"/>
  <c r="J53" i="8" s="1"/>
  <c r="J54" i="8" s="1"/>
  <c r="J55" i="8" s="1"/>
  <c r="J56" i="8" s="1"/>
  <c r="J57" i="8" s="1"/>
  <c r="J58" i="8" s="1"/>
  <c r="J59" i="8" s="1"/>
  <c r="J60" i="8" s="1"/>
  <c r="J61" i="8" s="1"/>
  <c r="L170" i="8"/>
  <c r="H170" i="8"/>
  <c r="K170" i="8"/>
  <c r="I170" i="8"/>
  <c r="I134" i="8"/>
  <c r="H134" i="8"/>
  <c r="L134" i="8"/>
  <c r="L123" i="8" s="1"/>
  <c r="L124" i="8" s="1"/>
  <c r="L125" i="8" s="1"/>
  <c r="L126" i="8" s="1"/>
  <c r="L127" i="8" s="1"/>
  <c r="L128" i="8" s="1"/>
  <c r="L129" i="8" s="1"/>
  <c r="L130" i="8" s="1"/>
  <c r="L131" i="8" s="1"/>
  <c r="L132" i="8" s="1"/>
  <c r="L133" i="8" s="1"/>
  <c r="K134" i="8"/>
  <c r="G135" i="8"/>
  <c r="I50" i="8"/>
  <c r="G51" i="8"/>
  <c r="L50" i="8"/>
  <c r="H50" i="8"/>
  <c r="K50" i="8"/>
  <c r="H194" i="8"/>
  <c r="G195" i="8"/>
  <c r="L194" i="8"/>
  <c r="K194" i="8"/>
  <c r="I194" i="8"/>
  <c r="G75" i="8"/>
  <c r="K74" i="8"/>
  <c r="H74" i="8"/>
  <c r="L74" i="8"/>
  <c r="I74" i="8"/>
  <c r="J99" i="8"/>
  <c r="J100" i="8" s="1"/>
  <c r="J101" i="8" s="1"/>
  <c r="J102" i="8" s="1"/>
  <c r="J103" i="8" s="1"/>
  <c r="J104" i="8" s="1"/>
  <c r="J105" i="8" s="1"/>
  <c r="J106" i="8" s="1"/>
  <c r="J107" i="8" s="1"/>
  <c r="J108" i="8" s="1"/>
  <c r="J109" i="8" s="1"/>
  <c r="J183" i="8"/>
  <c r="J184" i="8" s="1"/>
  <c r="J185" i="8" s="1"/>
  <c r="J186" i="8" s="1"/>
  <c r="J187" i="8" s="1"/>
  <c r="J188" i="8" s="1"/>
  <c r="J189" i="8" s="1"/>
  <c r="J190" i="8" s="1"/>
  <c r="J191" i="8" s="1"/>
  <c r="J192" i="8" s="1"/>
  <c r="J193" i="8" s="1"/>
  <c r="G99" i="8"/>
  <c r="I98" i="8"/>
  <c r="H98" i="8"/>
  <c r="L98" i="8"/>
  <c r="K98" i="8"/>
  <c r="J3" i="8"/>
  <c r="J4" i="8" s="1"/>
  <c r="J5" i="8" s="1"/>
  <c r="J6" i="8" s="1"/>
  <c r="J7" i="8" s="1"/>
  <c r="J8" i="8" s="1"/>
  <c r="J9" i="8" s="1"/>
  <c r="J10" i="8" s="1"/>
  <c r="J11" i="8" s="1"/>
  <c r="J12" i="8" s="1"/>
  <c r="J13" i="8" s="1"/>
  <c r="J15" i="8"/>
  <c r="J16" i="8" s="1"/>
  <c r="J17" i="8" s="1"/>
  <c r="J18" i="8" s="1"/>
  <c r="J19" i="8" s="1"/>
  <c r="J20" i="8" s="1"/>
  <c r="J21" i="8" s="1"/>
  <c r="J22" i="8" s="1"/>
  <c r="J23" i="8" s="1"/>
  <c r="J24" i="8" s="1"/>
  <c r="J25" i="8" s="1"/>
  <c r="G171" i="8"/>
  <c r="I182" i="8"/>
  <c r="L182" i="8"/>
  <c r="K182" i="8"/>
  <c r="H182" i="8"/>
  <c r="G183" i="8"/>
  <c r="I2" i="8"/>
  <c r="K2" i="8"/>
  <c r="G3" i="8"/>
  <c r="H2" i="8"/>
  <c r="G63" i="8"/>
  <c r="H62" i="8"/>
  <c r="L62" i="8"/>
  <c r="K62" i="8"/>
  <c r="I62" i="8"/>
  <c r="J75" i="8"/>
  <c r="J76" i="8" s="1"/>
  <c r="J77" i="8" s="1"/>
  <c r="J78" i="8" s="1"/>
  <c r="J79" i="8" s="1"/>
  <c r="J80" i="8" s="1"/>
  <c r="J81" i="8" s="1"/>
  <c r="J82" i="8" s="1"/>
  <c r="J83" i="8" s="1"/>
  <c r="J84" i="8" s="1"/>
  <c r="J85" i="8" s="1"/>
  <c r="I110" i="8"/>
  <c r="H110" i="8"/>
  <c r="L110" i="8"/>
  <c r="K110" i="8"/>
  <c r="L14" i="8"/>
  <c r="G15" i="8"/>
  <c r="I14" i="8"/>
  <c r="H14" i="8"/>
  <c r="K14" i="8"/>
  <c r="I146" i="8"/>
  <c r="K146" i="8"/>
  <c r="H146" i="8"/>
  <c r="G147" i="8"/>
  <c r="L146" i="8"/>
  <c r="N122" i="8"/>
  <c r="M122" i="8"/>
  <c r="L111" i="8"/>
  <c r="L112" i="8" s="1"/>
  <c r="L113" i="8" s="1"/>
  <c r="L114" i="8" s="1"/>
  <c r="L115" i="8" s="1"/>
  <c r="L116" i="8" s="1"/>
  <c r="L117" i="8" s="1"/>
  <c r="L118" i="8" s="1"/>
  <c r="L119" i="8" s="1"/>
  <c r="L120" i="8" s="1"/>
  <c r="L121" i="8" s="1"/>
  <c r="G234" i="8"/>
  <c r="H233" i="8"/>
  <c r="I233" i="8"/>
  <c r="K233" i="8"/>
  <c r="I111" i="8"/>
  <c r="G112" i="8"/>
  <c r="H111" i="8"/>
  <c r="K111" i="8"/>
  <c r="I246" i="8"/>
  <c r="K246" i="8"/>
  <c r="H246" i="8"/>
  <c r="G247" i="8"/>
  <c r="G259" i="8"/>
  <c r="K258" i="8"/>
  <c r="H258" i="8"/>
  <c r="I258" i="8"/>
  <c r="I123" i="8"/>
  <c r="H123" i="8"/>
  <c r="G124" i="8"/>
  <c r="K123" i="8"/>
  <c r="AD6" i="6"/>
  <c r="AD7" i="6"/>
  <c r="A7" i="47" l="1"/>
  <c r="J12" i="55" s="1"/>
  <c r="F6" i="47"/>
  <c r="D6" i="47"/>
  <c r="I222" i="8"/>
  <c r="H222" i="8"/>
  <c r="G223" i="8"/>
  <c r="K222" i="8"/>
  <c r="G211" i="8"/>
  <c r="I210" i="8"/>
  <c r="K210" i="8"/>
  <c r="H210" i="8"/>
  <c r="I3" i="8"/>
  <c r="H3" i="8"/>
  <c r="G4" i="8"/>
  <c r="K3" i="8"/>
  <c r="I171" i="8"/>
  <c r="H171" i="8"/>
  <c r="G172" i="8"/>
  <c r="K171" i="8"/>
  <c r="N194" i="8"/>
  <c r="N195" i="8" s="1"/>
  <c r="N196" i="8" s="1"/>
  <c r="N197" i="8" s="1"/>
  <c r="N198" i="8" s="1"/>
  <c r="N199" i="8" s="1"/>
  <c r="N200" i="8" s="1"/>
  <c r="N201" i="8" s="1"/>
  <c r="N202" i="8" s="1"/>
  <c r="N203" i="8" s="1"/>
  <c r="N204" i="8" s="1"/>
  <c r="N205" i="8" s="1"/>
  <c r="M194" i="8"/>
  <c r="M195" i="8" s="1"/>
  <c r="M196" i="8" s="1"/>
  <c r="M197" i="8" s="1"/>
  <c r="M198" i="8" s="1"/>
  <c r="M199" i="8" s="1"/>
  <c r="M200" i="8" s="1"/>
  <c r="M201" i="8" s="1"/>
  <c r="M202" i="8" s="1"/>
  <c r="M203" i="8" s="1"/>
  <c r="M204" i="8" s="1"/>
  <c r="M205" i="8" s="1"/>
  <c r="L195" i="8"/>
  <c r="L196" i="8" s="1"/>
  <c r="L197" i="8" s="1"/>
  <c r="L198" i="8" s="1"/>
  <c r="L199" i="8" s="1"/>
  <c r="L200" i="8" s="1"/>
  <c r="L201" i="8" s="1"/>
  <c r="L202" i="8" s="1"/>
  <c r="L203" i="8" s="1"/>
  <c r="L204" i="8" s="1"/>
  <c r="L205" i="8" s="1"/>
  <c r="I135" i="8"/>
  <c r="G136" i="8"/>
  <c r="H135" i="8"/>
  <c r="K135" i="8"/>
  <c r="N170" i="8"/>
  <c r="L171" i="8"/>
  <c r="L172" i="8" s="1"/>
  <c r="L173" i="8" s="1"/>
  <c r="L174" i="8" s="1"/>
  <c r="L175" i="8" s="1"/>
  <c r="L176" i="8" s="1"/>
  <c r="L177" i="8" s="1"/>
  <c r="L178" i="8" s="1"/>
  <c r="L179" i="8" s="1"/>
  <c r="L180" i="8" s="1"/>
  <c r="L181" i="8" s="1"/>
  <c r="M170" i="8"/>
  <c r="I195" i="8"/>
  <c r="K195" i="8"/>
  <c r="H195" i="8"/>
  <c r="G196" i="8"/>
  <c r="K87" i="8"/>
  <c r="G88" i="8"/>
  <c r="H87" i="8"/>
  <c r="I87" i="8"/>
  <c r="M38" i="8"/>
  <c r="L39" i="8"/>
  <c r="L40" i="8" s="1"/>
  <c r="L41" i="8" s="1"/>
  <c r="L42" i="8" s="1"/>
  <c r="L43" i="8" s="1"/>
  <c r="L44" i="8" s="1"/>
  <c r="L45" i="8" s="1"/>
  <c r="L46" i="8" s="1"/>
  <c r="L47" i="8" s="1"/>
  <c r="L48" i="8" s="1"/>
  <c r="L49" i="8" s="1"/>
  <c r="N38" i="8"/>
  <c r="N146" i="8"/>
  <c r="M146" i="8"/>
  <c r="L147" i="8"/>
  <c r="L148" i="8" s="1"/>
  <c r="L149" i="8" s="1"/>
  <c r="L150" i="8" s="1"/>
  <c r="L151" i="8" s="1"/>
  <c r="L152" i="8" s="1"/>
  <c r="L153" i="8" s="1"/>
  <c r="L154" i="8" s="1"/>
  <c r="L155" i="8" s="1"/>
  <c r="L156" i="8" s="1"/>
  <c r="L157" i="8" s="1"/>
  <c r="K15" i="8"/>
  <c r="I15" i="8"/>
  <c r="H15" i="8"/>
  <c r="G16" i="8"/>
  <c r="I183" i="8"/>
  <c r="G184" i="8"/>
  <c r="K183" i="8"/>
  <c r="H183" i="8"/>
  <c r="N74" i="8"/>
  <c r="M74" i="8"/>
  <c r="L75" i="8"/>
  <c r="L76" i="8" s="1"/>
  <c r="L77" i="8" s="1"/>
  <c r="L78" i="8" s="1"/>
  <c r="L79" i="8" s="1"/>
  <c r="L80" i="8" s="1"/>
  <c r="L81" i="8" s="1"/>
  <c r="L82" i="8" s="1"/>
  <c r="L83" i="8" s="1"/>
  <c r="L84" i="8" s="1"/>
  <c r="L85" i="8" s="1"/>
  <c r="M134" i="8"/>
  <c r="N134" i="8"/>
  <c r="L135" i="8"/>
  <c r="L136" i="8" s="1"/>
  <c r="L137" i="8" s="1"/>
  <c r="L138" i="8" s="1"/>
  <c r="L139" i="8" s="1"/>
  <c r="L140" i="8" s="1"/>
  <c r="L141" i="8" s="1"/>
  <c r="L142" i="8" s="1"/>
  <c r="L143" i="8" s="1"/>
  <c r="L144" i="8" s="1"/>
  <c r="L145" i="8" s="1"/>
  <c r="I159" i="8"/>
  <c r="H159" i="8"/>
  <c r="G160" i="8"/>
  <c r="K159" i="8"/>
  <c r="I147" i="8"/>
  <c r="H147" i="8"/>
  <c r="G148" i="8"/>
  <c r="K147" i="8"/>
  <c r="L12" i="8"/>
  <c r="L3" i="8"/>
  <c r="L10" i="8"/>
  <c r="L4" i="8"/>
  <c r="N14" i="8"/>
  <c r="M14" i="8"/>
  <c r="L6" i="8"/>
  <c r="L11" i="8"/>
  <c r="L5" i="8"/>
  <c r="L8" i="8"/>
  <c r="L9" i="8"/>
  <c r="L15" i="8"/>
  <c r="L16" i="8" s="1"/>
  <c r="L17" i="8" s="1"/>
  <c r="L18" i="8" s="1"/>
  <c r="L19" i="8" s="1"/>
  <c r="L20" i="8" s="1"/>
  <c r="L21" i="8" s="1"/>
  <c r="L22" i="8" s="1"/>
  <c r="L23" i="8" s="1"/>
  <c r="L24" i="8" s="1"/>
  <c r="L25" i="8" s="1"/>
  <c r="L13" i="8"/>
  <c r="M62" i="8"/>
  <c r="N62" i="8"/>
  <c r="L63" i="8"/>
  <c r="L64" i="8" s="1"/>
  <c r="L65" i="8" s="1"/>
  <c r="L66" i="8" s="1"/>
  <c r="L67" i="8" s="1"/>
  <c r="L68" i="8" s="1"/>
  <c r="L69" i="8" s="1"/>
  <c r="L70" i="8" s="1"/>
  <c r="L71" i="8" s="1"/>
  <c r="L72" i="8" s="1"/>
  <c r="L73" i="8" s="1"/>
  <c r="L87" i="8"/>
  <c r="L88" i="8" s="1"/>
  <c r="L89" i="8" s="1"/>
  <c r="L90" i="8" s="1"/>
  <c r="L91" i="8" s="1"/>
  <c r="L92" i="8" s="1"/>
  <c r="L93" i="8" s="1"/>
  <c r="L94" i="8" s="1"/>
  <c r="L95" i="8" s="1"/>
  <c r="L96" i="8" s="1"/>
  <c r="L97" i="8" s="1"/>
  <c r="M98" i="8"/>
  <c r="N98" i="8"/>
  <c r="L99" i="8"/>
  <c r="L100" i="8" s="1"/>
  <c r="L101" i="8" s="1"/>
  <c r="L102" i="8" s="1"/>
  <c r="L103" i="8" s="1"/>
  <c r="L104" i="8" s="1"/>
  <c r="L105" i="8" s="1"/>
  <c r="L106" i="8" s="1"/>
  <c r="L107" i="8" s="1"/>
  <c r="L108" i="8" s="1"/>
  <c r="L109" i="8" s="1"/>
  <c r="I27" i="8"/>
  <c r="K27" i="8"/>
  <c r="H27" i="8"/>
  <c r="G28" i="8"/>
  <c r="N86" i="8"/>
  <c r="M86" i="8"/>
  <c r="M87" i="8" s="1"/>
  <c r="M88" i="8" s="1"/>
  <c r="M89" i="8" s="1"/>
  <c r="M90" i="8" s="1"/>
  <c r="M91" i="8" s="1"/>
  <c r="M92" i="8" s="1"/>
  <c r="M93" i="8" s="1"/>
  <c r="M94" i="8" s="1"/>
  <c r="M95" i="8" s="1"/>
  <c r="M96" i="8" s="1"/>
  <c r="M97" i="8" s="1"/>
  <c r="N110" i="8"/>
  <c r="N111" i="8" s="1"/>
  <c r="N112" i="8" s="1"/>
  <c r="N113" i="8" s="1"/>
  <c r="N114" i="8" s="1"/>
  <c r="N115" i="8" s="1"/>
  <c r="N116" i="8" s="1"/>
  <c r="N117" i="8" s="1"/>
  <c r="N118" i="8" s="1"/>
  <c r="N119" i="8" s="1"/>
  <c r="N120" i="8" s="1"/>
  <c r="N121" i="8" s="1"/>
  <c r="M110" i="8"/>
  <c r="M111" i="8" s="1"/>
  <c r="M112" i="8" s="1"/>
  <c r="M113" i="8" s="1"/>
  <c r="M114" i="8" s="1"/>
  <c r="M115" i="8" s="1"/>
  <c r="M116" i="8" s="1"/>
  <c r="M117" i="8" s="1"/>
  <c r="M118" i="8" s="1"/>
  <c r="M119" i="8" s="1"/>
  <c r="M120" i="8" s="1"/>
  <c r="M121" i="8" s="1"/>
  <c r="H63" i="8"/>
  <c r="G64" i="8"/>
  <c r="I63" i="8"/>
  <c r="K63" i="8"/>
  <c r="M182" i="8"/>
  <c r="N182" i="8"/>
  <c r="N183" i="8" s="1"/>
  <c r="N184" i="8" s="1"/>
  <c r="N185" i="8" s="1"/>
  <c r="N186" i="8" s="1"/>
  <c r="N187" i="8" s="1"/>
  <c r="N188" i="8" s="1"/>
  <c r="N189" i="8" s="1"/>
  <c r="N190" i="8" s="1"/>
  <c r="N191" i="8" s="1"/>
  <c r="N192" i="8" s="1"/>
  <c r="N193" i="8" s="1"/>
  <c r="L183" i="8"/>
  <c r="L184" i="8" s="1"/>
  <c r="L185" i="8" s="1"/>
  <c r="L186" i="8" s="1"/>
  <c r="L187" i="8" s="1"/>
  <c r="L188" i="8" s="1"/>
  <c r="L189" i="8" s="1"/>
  <c r="L190" i="8" s="1"/>
  <c r="L191" i="8" s="1"/>
  <c r="L192" i="8" s="1"/>
  <c r="L193" i="8" s="1"/>
  <c r="K75" i="8"/>
  <c r="H75" i="8"/>
  <c r="G76" i="8"/>
  <c r="I75" i="8"/>
  <c r="L51" i="8"/>
  <c r="L52" i="8" s="1"/>
  <c r="L53" i="8" s="1"/>
  <c r="L54" i="8" s="1"/>
  <c r="L55" i="8" s="1"/>
  <c r="L56" i="8" s="1"/>
  <c r="L57" i="8" s="1"/>
  <c r="L58" i="8" s="1"/>
  <c r="L59" i="8" s="1"/>
  <c r="L60" i="8" s="1"/>
  <c r="L61" i="8" s="1"/>
  <c r="N50" i="8"/>
  <c r="N51" i="8" s="1"/>
  <c r="N52" i="8" s="1"/>
  <c r="N53" i="8" s="1"/>
  <c r="N54" i="8" s="1"/>
  <c r="N55" i="8" s="1"/>
  <c r="N56" i="8" s="1"/>
  <c r="N57" i="8" s="1"/>
  <c r="N58" i="8" s="1"/>
  <c r="N59" i="8" s="1"/>
  <c r="N60" i="8" s="1"/>
  <c r="N61" i="8" s="1"/>
  <c r="M50" i="8"/>
  <c r="M51" i="8" s="1"/>
  <c r="M52" i="8" s="1"/>
  <c r="M53" i="8" s="1"/>
  <c r="M54" i="8" s="1"/>
  <c r="M55" i="8" s="1"/>
  <c r="M56" i="8" s="1"/>
  <c r="M57" i="8" s="1"/>
  <c r="M58" i="8" s="1"/>
  <c r="M59" i="8" s="1"/>
  <c r="M60" i="8" s="1"/>
  <c r="M61" i="8" s="1"/>
  <c r="N26" i="8"/>
  <c r="N27" i="8" s="1"/>
  <c r="N28" i="8" s="1"/>
  <c r="N29" i="8" s="1"/>
  <c r="N30" i="8" s="1"/>
  <c r="N31" i="8" s="1"/>
  <c r="N32" i="8" s="1"/>
  <c r="N33" i="8" s="1"/>
  <c r="N34" i="8" s="1"/>
  <c r="N35" i="8" s="1"/>
  <c r="N36" i="8" s="1"/>
  <c r="N37" i="8" s="1"/>
  <c r="M26" i="8"/>
  <c r="M27" i="8" s="1"/>
  <c r="M28" i="8" s="1"/>
  <c r="M29" i="8" s="1"/>
  <c r="M30" i="8" s="1"/>
  <c r="M31" i="8" s="1"/>
  <c r="M32" i="8" s="1"/>
  <c r="M33" i="8" s="1"/>
  <c r="M34" i="8" s="1"/>
  <c r="M35" i="8" s="1"/>
  <c r="M36" i="8" s="1"/>
  <c r="M37" i="8" s="1"/>
  <c r="L27" i="8"/>
  <c r="L28" i="8" s="1"/>
  <c r="L29" i="8" s="1"/>
  <c r="L30" i="8" s="1"/>
  <c r="L31" i="8" s="1"/>
  <c r="L32" i="8" s="1"/>
  <c r="L33" i="8" s="1"/>
  <c r="L34" i="8" s="1"/>
  <c r="L35" i="8" s="1"/>
  <c r="L36" i="8" s="1"/>
  <c r="L37" i="8" s="1"/>
  <c r="I39" i="8"/>
  <c r="K39" i="8"/>
  <c r="H39" i="8"/>
  <c r="G40" i="8"/>
  <c r="N158" i="8"/>
  <c r="N159" i="8" s="1"/>
  <c r="N160" i="8" s="1"/>
  <c r="N161" i="8" s="1"/>
  <c r="N162" i="8" s="1"/>
  <c r="N163" i="8" s="1"/>
  <c r="N164" i="8" s="1"/>
  <c r="N165" i="8" s="1"/>
  <c r="N166" i="8" s="1"/>
  <c r="N167" i="8" s="1"/>
  <c r="N168" i="8" s="1"/>
  <c r="N169" i="8" s="1"/>
  <c r="M158" i="8"/>
  <c r="L159" i="8"/>
  <c r="L160" i="8" s="1"/>
  <c r="L161" i="8" s="1"/>
  <c r="L162" i="8" s="1"/>
  <c r="L163" i="8" s="1"/>
  <c r="L164" i="8" s="1"/>
  <c r="L165" i="8" s="1"/>
  <c r="L166" i="8" s="1"/>
  <c r="L167" i="8" s="1"/>
  <c r="L168" i="8" s="1"/>
  <c r="L169" i="8" s="1"/>
  <c r="G100" i="8"/>
  <c r="I99" i="8"/>
  <c r="H99" i="8"/>
  <c r="K99" i="8"/>
  <c r="H51" i="8"/>
  <c r="I51" i="8"/>
  <c r="G52" i="8"/>
  <c r="K51" i="8"/>
  <c r="H247" i="8"/>
  <c r="G248" i="8"/>
  <c r="K247" i="8"/>
  <c r="I247" i="8"/>
  <c r="I124" i="8"/>
  <c r="H124" i="8"/>
  <c r="K124" i="8"/>
  <c r="G125" i="8"/>
  <c r="N123" i="8"/>
  <c r="N124" i="8" s="1"/>
  <c r="N125" i="8" s="1"/>
  <c r="N126" i="8" s="1"/>
  <c r="N127" i="8" s="1"/>
  <c r="N128" i="8" s="1"/>
  <c r="N129" i="8" s="1"/>
  <c r="N130" i="8" s="1"/>
  <c r="N131" i="8" s="1"/>
  <c r="N132" i="8" s="1"/>
  <c r="N133" i="8" s="1"/>
  <c r="K234" i="8"/>
  <c r="I234" i="8"/>
  <c r="G235" i="8"/>
  <c r="H234" i="8"/>
  <c r="H259" i="8"/>
  <c r="G260" i="8"/>
  <c r="K259" i="8"/>
  <c r="I259" i="8"/>
  <c r="I112" i="8"/>
  <c r="H112" i="8"/>
  <c r="G113" i="8"/>
  <c r="K112" i="8"/>
  <c r="A8" i="47" l="1"/>
  <c r="J13" i="55" s="1"/>
  <c r="D7" i="47"/>
  <c r="F7" i="47"/>
  <c r="H211" i="8"/>
  <c r="G212" i="8"/>
  <c r="I211" i="8"/>
  <c r="K211" i="8"/>
  <c r="BC3" i="6"/>
  <c r="BD3" i="6" s="1"/>
  <c r="BE3" i="6" s="1"/>
  <c r="BF3" i="6" s="1"/>
  <c r="BG3" i="6"/>
  <c r="BH3" i="6" s="1"/>
  <c r="BI3" i="6" s="1"/>
  <c r="BJ3" i="6" s="1"/>
  <c r="AM3" i="6"/>
  <c r="AN3" i="6" s="1"/>
  <c r="AO3" i="6" s="1"/>
  <c r="AP3" i="6" s="1"/>
  <c r="AE3" i="6"/>
  <c r="D12" i="8"/>
  <c r="AU3" i="6"/>
  <c r="AV3" i="6" s="1"/>
  <c r="AW3" i="6" s="1"/>
  <c r="AX3" i="6" s="1"/>
  <c r="BS3" i="6"/>
  <c r="BT3" i="6" s="1"/>
  <c r="BU3" i="6" s="1"/>
  <c r="BV3" i="6" s="1"/>
  <c r="BK3" i="6"/>
  <c r="BL3" i="6" s="1"/>
  <c r="BM3" i="6" s="1"/>
  <c r="BN3" i="6" s="1"/>
  <c r="AI3" i="6"/>
  <c r="AJ3" i="6" s="1"/>
  <c r="AK3" i="6" s="1"/>
  <c r="AL3" i="6" s="1"/>
  <c r="AY3" i="6"/>
  <c r="AZ3" i="6" s="1"/>
  <c r="BA3" i="6" s="1"/>
  <c r="BB3" i="6" s="1"/>
  <c r="AQ3" i="6"/>
  <c r="AR3" i="6" s="1"/>
  <c r="AS3" i="6" s="1"/>
  <c r="AT3" i="6" s="1"/>
  <c r="AA3" i="6"/>
  <c r="BO3" i="6"/>
  <c r="BP3" i="6" s="1"/>
  <c r="BQ3" i="6" s="1"/>
  <c r="BR3" i="6" s="1"/>
  <c r="B34" i="8"/>
  <c r="B24" i="8"/>
  <c r="B29" i="8"/>
  <c r="B19" i="8"/>
  <c r="BW3" i="6"/>
  <c r="BX3" i="6" s="1"/>
  <c r="BY3" i="6" s="1"/>
  <c r="BZ3" i="6" s="1"/>
  <c r="B39" i="8"/>
  <c r="B12" i="8"/>
  <c r="CA3" i="6"/>
  <c r="CB3" i="6" s="1"/>
  <c r="CC3" i="6" s="1"/>
  <c r="CD3" i="6" s="1"/>
  <c r="K223" i="8"/>
  <c r="H223" i="8"/>
  <c r="G224" i="8"/>
  <c r="I223" i="8"/>
  <c r="M183" i="8"/>
  <c r="M184" i="8" s="1"/>
  <c r="M185" i="8" s="1"/>
  <c r="M186" i="8" s="1"/>
  <c r="M187" i="8" s="1"/>
  <c r="M188" i="8" s="1"/>
  <c r="M189" i="8" s="1"/>
  <c r="M190" i="8" s="1"/>
  <c r="M191" i="8" s="1"/>
  <c r="M192" i="8" s="1"/>
  <c r="M193" i="8" s="1"/>
  <c r="M159" i="8"/>
  <c r="M160" i="8" s="1"/>
  <c r="M161" i="8" s="1"/>
  <c r="M162" i="8" s="1"/>
  <c r="M163" i="8" s="1"/>
  <c r="M164" i="8" s="1"/>
  <c r="M165" i="8" s="1"/>
  <c r="M166" i="8" s="1"/>
  <c r="M167" i="8" s="1"/>
  <c r="M168" i="8" s="1"/>
  <c r="M169" i="8" s="1"/>
  <c r="L7" i="8"/>
  <c r="M135" i="8"/>
  <c r="M136" i="8" s="1"/>
  <c r="M137" i="8" s="1"/>
  <c r="M138" i="8" s="1"/>
  <c r="M139" i="8" s="1"/>
  <c r="M140" i="8" s="1"/>
  <c r="M141" i="8" s="1"/>
  <c r="M142" i="8" s="1"/>
  <c r="M143" i="8" s="1"/>
  <c r="M144" i="8" s="1"/>
  <c r="M145" i="8" s="1"/>
  <c r="M123" i="8"/>
  <c r="M124" i="8" s="1"/>
  <c r="M125" i="8" s="1"/>
  <c r="M126" i="8" s="1"/>
  <c r="M127" i="8" s="1"/>
  <c r="M128" i="8" s="1"/>
  <c r="M129" i="8" s="1"/>
  <c r="M130" i="8" s="1"/>
  <c r="M131" i="8" s="1"/>
  <c r="M132" i="8" s="1"/>
  <c r="M133" i="8" s="1"/>
  <c r="M99" i="8"/>
  <c r="M100" i="8" s="1"/>
  <c r="M101" i="8" s="1"/>
  <c r="M102" i="8" s="1"/>
  <c r="M103" i="8" s="1"/>
  <c r="M104" i="8" s="1"/>
  <c r="M105" i="8" s="1"/>
  <c r="M106" i="8" s="1"/>
  <c r="M107" i="8" s="1"/>
  <c r="M108" i="8" s="1"/>
  <c r="M109" i="8" s="1"/>
  <c r="N87" i="8"/>
  <c r="N88" i="8" s="1"/>
  <c r="N89" i="8" s="1"/>
  <c r="N90" i="8" s="1"/>
  <c r="N91" i="8" s="1"/>
  <c r="N92" i="8" s="1"/>
  <c r="N93" i="8" s="1"/>
  <c r="N94" i="8" s="1"/>
  <c r="N95" i="8" s="1"/>
  <c r="N96" i="8" s="1"/>
  <c r="N97" i="8" s="1"/>
  <c r="H88" i="8"/>
  <c r="G89" i="8"/>
  <c r="K88" i="8"/>
  <c r="I88" i="8"/>
  <c r="N171" i="8"/>
  <c r="N172" i="8" s="1"/>
  <c r="N173" i="8" s="1"/>
  <c r="N174" i="8" s="1"/>
  <c r="N175" i="8" s="1"/>
  <c r="N176" i="8" s="1"/>
  <c r="N177" i="8" s="1"/>
  <c r="N178" i="8" s="1"/>
  <c r="N179" i="8" s="1"/>
  <c r="N180" i="8" s="1"/>
  <c r="N181" i="8" s="1"/>
  <c r="K28" i="8"/>
  <c r="H28" i="8"/>
  <c r="G29" i="8"/>
  <c r="I28" i="8"/>
  <c r="M147" i="8"/>
  <c r="M148" i="8" s="1"/>
  <c r="M149" i="8" s="1"/>
  <c r="M150" i="8" s="1"/>
  <c r="M151" i="8" s="1"/>
  <c r="M152" i="8" s="1"/>
  <c r="M153" i="8" s="1"/>
  <c r="M154" i="8" s="1"/>
  <c r="M155" i="8" s="1"/>
  <c r="M156" i="8" s="1"/>
  <c r="M157" i="8" s="1"/>
  <c r="G173" i="8"/>
  <c r="H172" i="8"/>
  <c r="K172" i="8"/>
  <c r="I172" i="8"/>
  <c r="N63" i="8"/>
  <c r="N64" i="8" s="1"/>
  <c r="N65" i="8" s="1"/>
  <c r="N66" i="8" s="1"/>
  <c r="N67" i="8" s="1"/>
  <c r="N68" i="8" s="1"/>
  <c r="N69" i="8" s="1"/>
  <c r="N70" i="8" s="1"/>
  <c r="N71" i="8" s="1"/>
  <c r="N72" i="8" s="1"/>
  <c r="N73" i="8" s="1"/>
  <c r="K184" i="8"/>
  <c r="I184" i="8"/>
  <c r="H184" i="8"/>
  <c r="G185" i="8"/>
  <c r="N147" i="8"/>
  <c r="N148" i="8" s="1"/>
  <c r="N149" i="8" s="1"/>
  <c r="N150" i="8" s="1"/>
  <c r="N151" i="8" s="1"/>
  <c r="N152" i="8" s="1"/>
  <c r="N153" i="8" s="1"/>
  <c r="N154" i="8" s="1"/>
  <c r="N155" i="8" s="1"/>
  <c r="N156" i="8" s="1"/>
  <c r="N157" i="8" s="1"/>
  <c r="I196" i="8"/>
  <c r="K196" i="8"/>
  <c r="H196" i="8"/>
  <c r="G197" i="8"/>
  <c r="I40" i="8"/>
  <c r="G41" i="8"/>
  <c r="K40" i="8"/>
  <c r="H40" i="8"/>
  <c r="G77" i="8"/>
  <c r="H76" i="8"/>
  <c r="K76" i="8"/>
  <c r="I76" i="8"/>
  <c r="H64" i="8"/>
  <c r="G65" i="8"/>
  <c r="K64" i="8"/>
  <c r="I64" i="8"/>
  <c r="M63" i="8"/>
  <c r="M64" i="8" s="1"/>
  <c r="M65" i="8" s="1"/>
  <c r="M66" i="8" s="1"/>
  <c r="M67" i="8" s="1"/>
  <c r="M68" i="8" s="1"/>
  <c r="M69" i="8" s="1"/>
  <c r="M70" i="8" s="1"/>
  <c r="M71" i="8" s="1"/>
  <c r="M72" i="8" s="1"/>
  <c r="M73" i="8" s="1"/>
  <c r="I148" i="8"/>
  <c r="K148" i="8"/>
  <c r="H148" i="8"/>
  <c r="G149" i="8"/>
  <c r="N135" i="8"/>
  <c r="N136" i="8" s="1"/>
  <c r="N137" i="8" s="1"/>
  <c r="N138" i="8" s="1"/>
  <c r="N139" i="8" s="1"/>
  <c r="N140" i="8" s="1"/>
  <c r="N141" i="8" s="1"/>
  <c r="N142" i="8" s="1"/>
  <c r="N143" i="8" s="1"/>
  <c r="N144" i="8" s="1"/>
  <c r="N145" i="8" s="1"/>
  <c r="N39" i="8"/>
  <c r="N40" i="8" s="1"/>
  <c r="N41" i="8" s="1"/>
  <c r="N42" i="8" s="1"/>
  <c r="N43" i="8" s="1"/>
  <c r="N44" i="8" s="1"/>
  <c r="N45" i="8" s="1"/>
  <c r="N46" i="8" s="1"/>
  <c r="N47" i="8" s="1"/>
  <c r="N48" i="8" s="1"/>
  <c r="N49" i="8" s="1"/>
  <c r="G137" i="8"/>
  <c r="K136" i="8"/>
  <c r="I136" i="8"/>
  <c r="H136" i="8"/>
  <c r="I100" i="8"/>
  <c r="K100" i="8"/>
  <c r="H100" i="8"/>
  <c r="G101" i="8"/>
  <c r="M3" i="8"/>
  <c r="M11" i="8"/>
  <c r="M15" i="8"/>
  <c r="M16" i="8" s="1"/>
  <c r="M17" i="8" s="1"/>
  <c r="M18" i="8" s="1"/>
  <c r="M19" i="8" s="1"/>
  <c r="M20" i="8" s="1"/>
  <c r="M21" i="8" s="1"/>
  <c r="M22" i="8" s="1"/>
  <c r="M23" i="8" s="1"/>
  <c r="M24" i="8" s="1"/>
  <c r="M25" i="8" s="1"/>
  <c r="M13" i="8"/>
  <c r="M10" i="8"/>
  <c r="M5" i="8"/>
  <c r="M9" i="8"/>
  <c r="M6" i="8"/>
  <c r="M8" i="8"/>
  <c r="M12" i="8"/>
  <c r="M4" i="8"/>
  <c r="M7" i="8"/>
  <c r="H16" i="8"/>
  <c r="K16" i="8"/>
  <c r="G17" i="8"/>
  <c r="I16" i="8"/>
  <c r="N4" i="8"/>
  <c r="N3" i="8"/>
  <c r="N13" i="8"/>
  <c r="N11" i="8"/>
  <c r="N7" i="8"/>
  <c r="N15" i="8"/>
  <c r="N16" i="8" s="1"/>
  <c r="N17" i="8" s="1"/>
  <c r="N18" i="8" s="1"/>
  <c r="N19" i="8" s="1"/>
  <c r="N20" i="8" s="1"/>
  <c r="N21" i="8" s="1"/>
  <c r="N22" i="8" s="1"/>
  <c r="N23" i="8" s="1"/>
  <c r="N24" i="8" s="1"/>
  <c r="N25" i="8" s="1"/>
  <c r="N9" i="8"/>
  <c r="N6" i="8"/>
  <c r="N12" i="8"/>
  <c r="N8" i="8"/>
  <c r="N5" i="8"/>
  <c r="N10" i="8"/>
  <c r="M39" i="8"/>
  <c r="M40" i="8" s="1"/>
  <c r="M41" i="8" s="1"/>
  <c r="M42" i="8" s="1"/>
  <c r="M43" i="8" s="1"/>
  <c r="M44" i="8" s="1"/>
  <c r="M45" i="8" s="1"/>
  <c r="M46" i="8" s="1"/>
  <c r="M47" i="8" s="1"/>
  <c r="M48" i="8" s="1"/>
  <c r="M49" i="8" s="1"/>
  <c r="G5" i="8"/>
  <c r="H4" i="8"/>
  <c r="K4" i="8"/>
  <c r="I4" i="8"/>
  <c r="G53" i="8"/>
  <c r="H52" i="8"/>
  <c r="K52" i="8"/>
  <c r="I52" i="8"/>
  <c r="N99" i="8"/>
  <c r="N100" i="8" s="1"/>
  <c r="N101" i="8" s="1"/>
  <c r="N102" i="8" s="1"/>
  <c r="N103" i="8" s="1"/>
  <c r="N104" i="8" s="1"/>
  <c r="N105" i="8" s="1"/>
  <c r="N106" i="8" s="1"/>
  <c r="N107" i="8" s="1"/>
  <c r="N108" i="8" s="1"/>
  <c r="N109" i="8" s="1"/>
  <c r="M75" i="8"/>
  <c r="M76" i="8" s="1"/>
  <c r="M77" i="8" s="1"/>
  <c r="M78" i="8" s="1"/>
  <c r="M79" i="8" s="1"/>
  <c r="M80" i="8" s="1"/>
  <c r="M81" i="8" s="1"/>
  <c r="M82" i="8" s="1"/>
  <c r="M83" i="8" s="1"/>
  <c r="M84" i="8" s="1"/>
  <c r="M85" i="8" s="1"/>
  <c r="M171" i="8"/>
  <c r="M172" i="8" s="1"/>
  <c r="M173" i="8" s="1"/>
  <c r="M174" i="8" s="1"/>
  <c r="M175" i="8" s="1"/>
  <c r="M176" i="8" s="1"/>
  <c r="M177" i="8" s="1"/>
  <c r="M178" i="8" s="1"/>
  <c r="M179" i="8" s="1"/>
  <c r="M180" i="8" s="1"/>
  <c r="M181" i="8" s="1"/>
  <c r="H160" i="8"/>
  <c r="I160" i="8"/>
  <c r="G161" i="8"/>
  <c r="K160" i="8"/>
  <c r="N75" i="8"/>
  <c r="N76" i="8" s="1"/>
  <c r="N77" i="8" s="1"/>
  <c r="N78" i="8" s="1"/>
  <c r="N79" i="8" s="1"/>
  <c r="N80" i="8" s="1"/>
  <c r="N81" i="8" s="1"/>
  <c r="N82" i="8" s="1"/>
  <c r="N83" i="8" s="1"/>
  <c r="N84" i="8" s="1"/>
  <c r="N85" i="8" s="1"/>
  <c r="I125" i="8"/>
  <c r="K125" i="8"/>
  <c r="H125" i="8"/>
  <c r="G126" i="8"/>
  <c r="H235" i="8"/>
  <c r="G236" i="8"/>
  <c r="K235" i="8"/>
  <c r="I235" i="8"/>
  <c r="H248" i="8"/>
  <c r="G249" i="8"/>
  <c r="K248" i="8"/>
  <c r="I248" i="8"/>
  <c r="H113" i="8"/>
  <c r="G114" i="8"/>
  <c r="K113" i="8"/>
  <c r="I113" i="8"/>
  <c r="I260" i="8"/>
  <c r="H260" i="8"/>
  <c r="CA5" i="6" s="1"/>
  <c r="CB5" i="6" s="1"/>
  <c r="CC5" i="6" s="1"/>
  <c r="CD5" i="6" s="1"/>
  <c r="K260" i="8"/>
  <c r="A9" i="47" l="1"/>
  <c r="J14" i="55" s="1"/>
  <c r="F8" i="47"/>
  <c r="D8" i="47"/>
  <c r="H224" i="8"/>
  <c r="K224" i="8"/>
  <c r="G225" i="8"/>
  <c r="I224" i="8"/>
  <c r="AY9" i="6"/>
  <c r="AZ9" i="6" s="1"/>
  <c r="BA9" i="6" s="1"/>
  <c r="BB9" i="6" s="1"/>
  <c r="BS9" i="6"/>
  <c r="BT9" i="6" s="1"/>
  <c r="BU9" i="6" s="1"/>
  <c r="BV9" i="6" s="1"/>
  <c r="AI9" i="6"/>
  <c r="AJ9" i="6" s="1"/>
  <c r="AK9" i="6" s="1"/>
  <c r="AL9" i="6" s="1"/>
  <c r="AA9" i="6"/>
  <c r="BO9" i="6"/>
  <c r="BP9" i="6" s="1"/>
  <c r="BQ9" i="6" s="1"/>
  <c r="BR9" i="6" s="1"/>
  <c r="BC9" i="6"/>
  <c r="BD9" i="6" s="1"/>
  <c r="BE9" i="6" s="1"/>
  <c r="BF9" i="6" s="1"/>
  <c r="BK9" i="6"/>
  <c r="BL9" i="6" s="1"/>
  <c r="BM9" i="6" s="1"/>
  <c r="BN9" i="6" s="1"/>
  <c r="AE9" i="6"/>
  <c r="AF9" i="6" s="1"/>
  <c r="AG9" i="6" s="1"/>
  <c r="AH9" i="6" s="1"/>
  <c r="AU9" i="6"/>
  <c r="AV9" i="6" s="1"/>
  <c r="AW9" i="6" s="1"/>
  <c r="AX9" i="6" s="1"/>
  <c r="AQ9" i="6"/>
  <c r="AR9" i="6" s="1"/>
  <c r="AS9" i="6" s="1"/>
  <c r="AT9" i="6" s="1"/>
  <c r="AM9" i="6"/>
  <c r="AN9" i="6" s="1"/>
  <c r="AO9" i="6" s="1"/>
  <c r="AP9" i="6" s="1"/>
  <c r="D10" i="8"/>
  <c r="BG9" i="6"/>
  <c r="BH9" i="6" s="1"/>
  <c r="BI9" i="6" s="1"/>
  <c r="BJ9" i="6" s="1"/>
  <c r="B17" i="8"/>
  <c r="B37" i="8"/>
  <c r="B27" i="8"/>
  <c r="B22" i="8"/>
  <c r="B32" i="8"/>
  <c r="B10" i="8"/>
  <c r="BW9" i="6"/>
  <c r="BX9" i="6" s="1"/>
  <c r="BY9" i="6" s="1"/>
  <c r="BZ9" i="6" s="1"/>
  <c r="BO8" i="6"/>
  <c r="BP8" i="6" s="1"/>
  <c r="BQ8" i="6" s="1"/>
  <c r="BR8" i="6" s="1"/>
  <c r="BG8" i="6"/>
  <c r="BH8" i="6" s="1"/>
  <c r="BI8" i="6" s="1"/>
  <c r="BJ8" i="6" s="1"/>
  <c r="AQ8" i="6"/>
  <c r="AR8" i="6" s="1"/>
  <c r="AS8" i="6" s="1"/>
  <c r="AT8" i="6" s="1"/>
  <c r="AA8" i="6"/>
  <c r="BS8" i="6"/>
  <c r="BT8" i="6" s="1"/>
  <c r="BU8" i="6" s="1"/>
  <c r="BV8" i="6" s="1"/>
  <c r="AY8" i="6"/>
  <c r="AZ8" i="6" s="1"/>
  <c r="BA8" i="6" s="1"/>
  <c r="BB8" i="6" s="1"/>
  <c r="AU8" i="6"/>
  <c r="AV8" i="6" s="1"/>
  <c r="AW8" i="6" s="1"/>
  <c r="AX8" i="6" s="1"/>
  <c r="AE8" i="6"/>
  <c r="AF8" i="6" s="1"/>
  <c r="AG8" i="6" s="1"/>
  <c r="AH8" i="6" s="1"/>
  <c r="BC8" i="6"/>
  <c r="BD8" i="6" s="1"/>
  <c r="BE8" i="6" s="1"/>
  <c r="BF8" i="6" s="1"/>
  <c r="AM8" i="6"/>
  <c r="AN8" i="6" s="1"/>
  <c r="AO8" i="6" s="1"/>
  <c r="AP8" i="6" s="1"/>
  <c r="BK8" i="6"/>
  <c r="BL8" i="6" s="1"/>
  <c r="BM8" i="6" s="1"/>
  <c r="BN8" i="6" s="1"/>
  <c r="AI8" i="6"/>
  <c r="AJ8" i="6" s="1"/>
  <c r="AK8" i="6" s="1"/>
  <c r="AL8" i="6" s="1"/>
  <c r="C34" i="8"/>
  <c r="C39" i="8"/>
  <c r="C24" i="8"/>
  <c r="C7" i="8"/>
  <c r="C29" i="8"/>
  <c r="C12" i="8"/>
  <c r="C19" i="8"/>
  <c r="BW8" i="6"/>
  <c r="BX8" i="6" s="1"/>
  <c r="BY8" i="6" s="1"/>
  <c r="BZ8" i="6" s="1"/>
  <c r="CA9" i="6"/>
  <c r="CB9" i="6" s="1"/>
  <c r="CC9" i="6" s="1"/>
  <c r="CD9" i="6" s="1"/>
  <c r="G213" i="8"/>
  <c r="K212" i="8"/>
  <c r="I212" i="8"/>
  <c r="H212" i="8"/>
  <c r="BO5" i="6"/>
  <c r="BP5" i="6" s="1"/>
  <c r="BQ5" i="6" s="1"/>
  <c r="BR5" i="6" s="1"/>
  <c r="BS5" i="6"/>
  <c r="BT5" i="6" s="1"/>
  <c r="BU5" i="6" s="1"/>
  <c r="BV5" i="6" s="1"/>
  <c r="AQ5" i="6"/>
  <c r="AR5" i="6" s="1"/>
  <c r="AS5" i="6" s="1"/>
  <c r="AT5" i="6" s="1"/>
  <c r="BK5" i="6"/>
  <c r="BL5" i="6" s="1"/>
  <c r="BM5" i="6" s="1"/>
  <c r="BN5" i="6" s="1"/>
  <c r="AI5" i="6"/>
  <c r="AJ5" i="6" s="1"/>
  <c r="AK5" i="6" s="1"/>
  <c r="AL5" i="6" s="1"/>
  <c r="AM5" i="6"/>
  <c r="AN5" i="6" s="1"/>
  <c r="AO5" i="6" s="1"/>
  <c r="AP5" i="6" s="1"/>
  <c r="BG5" i="6"/>
  <c r="BH5" i="6" s="1"/>
  <c r="BI5" i="6" s="1"/>
  <c r="BJ5" i="6" s="1"/>
  <c r="D11" i="8"/>
  <c r="BC5" i="6"/>
  <c r="BD5" i="6" s="1"/>
  <c r="BE5" i="6" s="1"/>
  <c r="BF5" i="6" s="1"/>
  <c r="AA5" i="6"/>
  <c r="AU5" i="6"/>
  <c r="AV5" i="6" s="1"/>
  <c r="AW5" i="6" s="1"/>
  <c r="AX5" i="6" s="1"/>
  <c r="AE5" i="6"/>
  <c r="AF5" i="6" s="1"/>
  <c r="AG5" i="6" s="1"/>
  <c r="AH5" i="6" s="1"/>
  <c r="AY5" i="6"/>
  <c r="AZ5" i="6" s="1"/>
  <c r="BA5" i="6" s="1"/>
  <c r="BB5" i="6" s="1"/>
  <c r="B23" i="8"/>
  <c r="B38" i="8"/>
  <c r="B28" i="8"/>
  <c r="B11" i="8"/>
  <c r="B33" i="8"/>
  <c r="B18" i="8"/>
  <c r="BW5" i="6"/>
  <c r="BX5" i="6" s="1"/>
  <c r="BY5" i="6" s="1"/>
  <c r="BZ5" i="6" s="1"/>
  <c r="B7" i="8"/>
  <c r="C5" i="40"/>
  <c r="C2" i="47"/>
  <c r="C4" i="47"/>
  <c r="C6" i="47"/>
  <c r="AB3" i="6"/>
  <c r="C3" i="47"/>
  <c r="C7" i="47"/>
  <c r="C8" i="47"/>
  <c r="C5" i="47"/>
  <c r="AF3" i="6"/>
  <c r="AG3" i="6" s="1"/>
  <c r="AH3" i="6" s="1"/>
  <c r="AE7" i="6"/>
  <c r="AF7" i="6" s="1"/>
  <c r="AG7" i="6" s="1"/>
  <c r="AE6" i="6"/>
  <c r="AF6" i="6" s="1"/>
  <c r="AG6" i="6" s="1"/>
  <c r="CA8" i="6"/>
  <c r="CB8" i="6" s="1"/>
  <c r="CC8" i="6" s="1"/>
  <c r="CD8" i="6" s="1"/>
  <c r="H161" i="8"/>
  <c r="I161" i="8"/>
  <c r="G162" i="8"/>
  <c r="K161" i="8"/>
  <c r="H53" i="8"/>
  <c r="I53" i="8"/>
  <c r="G54" i="8"/>
  <c r="K53" i="8"/>
  <c r="G78" i="8"/>
  <c r="H77" i="8"/>
  <c r="I77" i="8"/>
  <c r="K77" i="8"/>
  <c r="H137" i="8"/>
  <c r="G138" i="8"/>
  <c r="K137" i="8"/>
  <c r="I137" i="8"/>
  <c r="H101" i="8"/>
  <c r="G102" i="8"/>
  <c r="K101" i="8"/>
  <c r="I101" i="8"/>
  <c r="G186" i="8"/>
  <c r="H185" i="8"/>
  <c r="I185" i="8"/>
  <c r="K185" i="8"/>
  <c r="I173" i="8"/>
  <c r="K173" i="8"/>
  <c r="G174" i="8"/>
  <c r="H173" i="8"/>
  <c r="G18" i="8"/>
  <c r="K17" i="8"/>
  <c r="H17" i="8"/>
  <c r="I17" i="8"/>
  <c r="H65" i="8"/>
  <c r="G66" i="8"/>
  <c r="K65" i="8"/>
  <c r="I65" i="8"/>
  <c r="I41" i="8"/>
  <c r="G42" i="8"/>
  <c r="K41" i="8"/>
  <c r="H41" i="8"/>
  <c r="I89" i="8"/>
  <c r="H89" i="8"/>
  <c r="G90" i="8"/>
  <c r="K89" i="8"/>
  <c r="H5" i="8"/>
  <c r="K5" i="8"/>
  <c r="I5" i="8"/>
  <c r="G6" i="8"/>
  <c r="H149" i="8"/>
  <c r="I149" i="8"/>
  <c r="K149" i="8"/>
  <c r="G150" i="8"/>
  <c r="H197" i="8"/>
  <c r="G198" i="8"/>
  <c r="K197" i="8"/>
  <c r="I197" i="8"/>
  <c r="H29" i="8"/>
  <c r="G30" i="8"/>
  <c r="I29" i="8"/>
  <c r="K29" i="8"/>
  <c r="H236" i="8"/>
  <c r="G237" i="8"/>
  <c r="I236" i="8"/>
  <c r="K236" i="8"/>
  <c r="K126" i="8"/>
  <c r="I126" i="8"/>
  <c r="H126" i="8"/>
  <c r="G127" i="8"/>
  <c r="H114" i="8"/>
  <c r="G115" i="8"/>
  <c r="K114" i="8"/>
  <c r="I114" i="8"/>
  <c r="H249" i="8"/>
  <c r="I249" i="8"/>
  <c r="G250" i="8"/>
  <c r="K249" i="8"/>
  <c r="A10" i="47" l="1"/>
  <c r="J15" i="55" s="1"/>
  <c r="D9" i="47"/>
  <c r="F9" i="47"/>
  <c r="H6" i="47"/>
  <c r="H5" i="47"/>
  <c r="H7" i="47"/>
  <c r="AB9" i="6"/>
  <c r="H8" i="47"/>
  <c r="H4" i="47"/>
  <c r="H2" i="47"/>
  <c r="H3" i="47"/>
  <c r="K213" i="8"/>
  <c r="H213" i="8"/>
  <c r="G214" i="8"/>
  <c r="I213" i="8"/>
  <c r="G7" i="47"/>
  <c r="G5" i="47"/>
  <c r="G4" i="47"/>
  <c r="G8" i="47"/>
  <c r="G3" i="47"/>
  <c r="G2" i="47"/>
  <c r="G6" i="47"/>
  <c r="AB8" i="6"/>
  <c r="C9" i="47"/>
  <c r="AC3" i="6"/>
  <c r="E3" i="47"/>
  <c r="E2" i="47"/>
  <c r="AB5" i="6"/>
  <c r="E7" i="47"/>
  <c r="E4" i="47"/>
  <c r="E8" i="47"/>
  <c r="E5" i="47"/>
  <c r="E6" i="47"/>
  <c r="I225" i="8"/>
  <c r="H225" i="8"/>
  <c r="G226" i="8"/>
  <c r="K225" i="8"/>
  <c r="H6" i="8"/>
  <c r="I6" i="8"/>
  <c r="G7" i="8"/>
  <c r="K6" i="8"/>
  <c r="G55" i="8"/>
  <c r="I54" i="8"/>
  <c r="K54" i="8"/>
  <c r="H54" i="8"/>
  <c r="K198" i="8"/>
  <c r="G199" i="8"/>
  <c r="H198" i="8"/>
  <c r="I198" i="8"/>
  <c r="H42" i="8"/>
  <c r="I42" i="8"/>
  <c r="G43" i="8"/>
  <c r="K42" i="8"/>
  <c r="H138" i="8"/>
  <c r="I138" i="8"/>
  <c r="G139" i="8"/>
  <c r="K138" i="8"/>
  <c r="H18" i="8"/>
  <c r="G19" i="8"/>
  <c r="I18" i="8"/>
  <c r="K18" i="8"/>
  <c r="G187" i="8"/>
  <c r="K186" i="8"/>
  <c r="I186" i="8"/>
  <c r="H186" i="8"/>
  <c r="G151" i="8"/>
  <c r="I150" i="8"/>
  <c r="H150" i="8"/>
  <c r="K150" i="8"/>
  <c r="G91" i="8"/>
  <c r="I90" i="8"/>
  <c r="H90" i="8"/>
  <c r="K90" i="8"/>
  <c r="K174" i="8"/>
  <c r="I174" i="8"/>
  <c r="H174" i="8"/>
  <c r="G175" i="8"/>
  <c r="I162" i="8"/>
  <c r="K162" i="8"/>
  <c r="G163" i="8"/>
  <c r="H162" i="8"/>
  <c r="H30" i="8"/>
  <c r="G31" i="8"/>
  <c r="I30" i="8"/>
  <c r="K30" i="8"/>
  <c r="G67" i="8"/>
  <c r="K66" i="8"/>
  <c r="I66" i="8"/>
  <c r="H66" i="8"/>
  <c r="H102" i="8"/>
  <c r="G103" i="8"/>
  <c r="I102" i="8"/>
  <c r="K102" i="8"/>
  <c r="I78" i="8"/>
  <c r="H78" i="8"/>
  <c r="G79" i="8"/>
  <c r="K78" i="8"/>
  <c r="I127" i="8"/>
  <c r="H127" i="8"/>
  <c r="G128" i="8"/>
  <c r="K127" i="8"/>
  <c r="G251" i="8"/>
  <c r="K250" i="8"/>
  <c r="I250" i="8"/>
  <c r="H250" i="8"/>
  <c r="G238" i="8"/>
  <c r="I237" i="8"/>
  <c r="H237" i="8"/>
  <c r="K237" i="8"/>
  <c r="H115" i="8"/>
  <c r="G116" i="8"/>
  <c r="K115" i="8"/>
  <c r="I115" i="8"/>
  <c r="AH6" i="6"/>
  <c r="AH7" i="6"/>
  <c r="C10" i="47" l="1"/>
  <c r="A11" i="47"/>
  <c r="H11" i="47" s="1"/>
  <c r="D10" i="47"/>
  <c r="F10" i="47"/>
  <c r="AC8" i="6"/>
  <c r="G9" i="47"/>
  <c r="G10" i="47"/>
  <c r="AC9" i="6"/>
  <c r="H9" i="47"/>
  <c r="H10" i="47"/>
  <c r="AD3" i="6"/>
  <c r="K214" i="8"/>
  <c r="G215" i="8"/>
  <c r="I214" i="8"/>
  <c r="H214" i="8"/>
  <c r="G227" i="8"/>
  <c r="H226" i="8"/>
  <c r="I226" i="8"/>
  <c r="K226" i="8"/>
  <c r="AC5" i="6"/>
  <c r="E11" i="47"/>
  <c r="E10" i="47"/>
  <c r="E9" i="47"/>
  <c r="G176" i="8"/>
  <c r="K175" i="8"/>
  <c r="I175" i="8"/>
  <c r="H175" i="8"/>
  <c r="K43" i="8"/>
  <c r="G44" i="8"/>
  <c r="I43" i="8"/>
  <c r="H43" i="8"/>
  <c r="H103" i="8"/>
  <c r="I103" i="8"/>
  <c r="G104" i="8"/>
  <c r="K103" i="8"/>
  <c r="I31" i="8"/>
  <c r="G32" i="8"/>
  <c r="H31" i="8"/>
  <c r="K31" i="8"/>
  <c r="K19" i="8"/>
  <c r="I19" i="8"/>
  <c r="G20" i="8"/>
  <c r="H19" i="8"/>
  <c r="H151" i="8"/>
  <c r="G152" i="8"/>
  <c r="K151" i="8"/>
  <c r="I151" i="8"/>
  <c r="G56" i="8"/>
  <c r="I55" i="8"/>
  <c r="K55" i="8"/>
  <c r="H55" i="8"/>
  <c r="H79" i="8"/>
  <c r="G80" i="8"/>
  <c r="K79" i="8"/>
  <c r="I79" i="8"/>
  <c r="K163" i="8"/>
  <c r="I163" i="8"/>
  <c r="H163" i="8"/>
  <c r="G164" i="8"/>
  <c r="H139" i="8"/>
  <c r="G140" i="8"/>
  <c r="K139" i="8"/>
  <c r="I139" i="8"/>
  <c r="G8" i="8"/>
  <c r="I7" i="8"/>
  <c r="K7" i="8"/>
  <c r="H7" i="8"/>
  <c r="G200" i="8"/>
  <c r="H199" i="8"/>
  <c r="K199" i="8"/>
  <c r="I199" i="8"/>
  <c r="I67" i="8"/>
  <c r="H67" i="8"/>
  <c r="G68" i="8"/>
  <c r="K67" i="8"/>
  <c r="G92" i="8"/>
  <c r="K91" i="8"/>
  <c r="H91" i="8"/>
  <c r="I91" i="8"/>
  <c r="H187" i="8"/>
  <c r="I187" i="8"/>
  <c r="G188" i="8"/>
  <c r="K187" i="8"/>
  <c r="G239" i="8"/>
  <c r="H238" i="8"/>
  <c r="K238" i="8"/>
  <c r="I238" i="8"/>
  <c r="I128" i="8"/>
  <c r="H128" i="8"/>
  <c r="G129" i="8"/>
  <c r="K128" i="8"/>
  <c r="K116" i="8"/>
  <c r="H116" i="8"/>
  <c r="I116" i="8"/>
  <c r="G117" i="8"/>
  <c r="H251" i="8"/>
  <c r="G252" i="8"/>
  <c r="K251" i="8"/>
  <c r="I251" i="8"/>
  <c r="AI6" i="6"/>
  <c r="AI7" i="6"/>
  <c r="G11" i="47" l="1"/>
  <c r="J16" i="55"/>
  <c r="A12" i="47"/>
  <c r="J17" i="55" s="1"/>
  <c r="F11" i="47"/>
  <c r="D11" i="47"/>
  <c r="C11" i="47"/>
  <c r="H215" i="8"/>
  <c r="G216" i="8"/>
  <c r="I215" i="8"/>
  <c r="K215" i="8"/>
  <c r="H227" i="8"/>
  <c r="I227" i="8"/>
  <c r="G228" i="8"/>
  <c r="K227" i="8"/>
  <c r="AD8" i="6"/>
  <c r="AD5" i="6"/>
  <c r="AD9" i="6"/>
  <c r="K140" i="8"/>
  <c r="I140" i="8"/>
  <c r="H140" i="8"/>
  <c r="G141" i="8"/>
  <c r="H80" i="8"/>
  <c r="G81" i="8"/>
  <c r="K80" i="8"/>
  <c r="I80" i="8"/>
  <c r="H152" i="8"/>
  <c r="G153" i="8"/>
  <c r="K152" i="8"/>
  <c r="I152" i="8"/>
  <c r="H32" i="8"/>
  <c r="K32" i="8"/>
  <c r="G33" i="8"/>
  <c r="I32" i="8"/>
  <c r="G45" i="8"/>
  <c r="K44" i="8"/>
  <c r="I44" i="8"/>
  <c r="H44" i="8"/>
  <c r="K92" i="8"/>
  <c r="I92" i="8"/>
  <c r="G93" i="8"/>
  <c r="H92" i="8"/>
  <c r="I200" i="8"/>
  <c r="H200" i="8"/>
  <c r="G201" i="8"/>
  <c r="K200" i="8"/>
  <c r="I164" i="8"/>
  <c r="G165" i="8"/>
  <c r="H164" i="8"/>
  <c r="K164" i="8"/>
  <c r="G189" i="8"/>
  <c r="K188" i="8"/>
  <c r="I188" i="8"/>
  <c r="H188" i="8"/>
  <c r="K68" i="8"/>
  <c r="G69" i="8"/>
  <c r="I68" i="8"/>
  <c r="H68" i="8"/>
  <c r="G21" i="8"/>
  <c r="H20" i="8"/>
  <c r="K20" i="8"/>
  <c r="I20" i="8"/>
  <c r="I104" i="8"/>
  <c r="G105" i="8"/>
  <c r="H104" i="8"/>
  <c r="K104" i="8"/>
  <c r="I8" i="8"/>
  <c r="G9" i="8"/>
  <c r="H8" i="8"/>
  <c r="K8" i="8"/>
  <c r="H56" i="8"/>
  <c r="G57" i="8"/>
  <c r="K56" i="8"/>
  <c r="I56" i="8"/>
  <c r="G177" i="8"/>
  <c r="K176" i="8"/>
  <c r="I176" i="8"/>
  <c r="H176" i="8"/>
  <c r="G240" i="8"/>
  <c r="K239" i="8"/>
  <c r="I239" i="8"/>
  <c r="H239" i="8"/>
  <c r="I252" i="8"/>
  <c r="G253" i="8"/>
  <c r="H252" i="8"/>
  <c r="K252" i="8"/>
  <c r="G130" i="8"/>
  <c r="I129" i="8"/>
  <c r="H129" i="8"/>
  <c r="K129" i="8"/>
  <c r="I117" i="8"/>
  <c r="H117" i="8"/>
  <c r="G118" i="8"/>
  <c r="K117" i="8"/>
  <c r="AJ6" i="6"/>
  <c r="AJ7" i="6"/>
  <c r="A13" i="47" l="1"/>
  <c r="J18" i="55" s="1"/>
  <c r="D12" i="47"/>
  <c r="F12" i="47"/>
  <c r="C12" i="47"/>
  <c r="G12" i="47"/>
  <c r="E12" i="47"/>
  <c r="H12" i="47"/>
  <c r="H228" i="8"/>
  <c r="G229" i="8"/>
  <c r="K228" i="8"/>
  <c r="I228" i="8"/>
  <c r="K216" i="8"/>
  <c r="H216" i="8"/>
  <c r="G217" i="8"/>
  <c r="I216" i="8"/>
  <c r="H93" i="8"/>
  <c r="G94" i="8"/>
  <c r="K93" i="8"/>
  <c r="I93" i="8"/>
  <c r="K33" i="8"/>
  <c r="H33" i="8"/>
  <c r="I33" i="8"/>
  <c r="G34" i="8"/>
  <c r="G58" i="8"/>
  <c r="I57" i="8"/>
  <c r="K57" i="8"/>
  <c r="H57" i="8"/>
  <c r="G106" i="8"/>
  <c r="K105" i="8"/>
  <c r="H105" i="8"/>
  <c r="I105" i="8"/>
  <c r="I69" i="8"/>
  <c r="K69" i="8"/>
  <c r="G70" i="8"/>
  <c r="H69" i="8"/>
  <c r="G166" i="8"/>
  <c r="K165" i="8"/>
  <c r="I165" i="8"/>
  <c r="H165" i="8"/>
  <c r="I81" i="8"/>
  <c r="G82" i="8"/>
  <c r="K81" i="8"/>
  <c r="H81" i="8"/>
  <c r="H141" i="8"/>
  <c r="K141" i="8"/>
  <c r="I141" i="8"/>
  <c r="G142" i="8"/>
  <c r="G202" i="8"/>
  <c r="K201" i="8"/>
  <c r="I201" i="8"/>
  <c r="H201" i="8"/>
  <c r="H9" i="8"/>
  <c r="K9" i="8"/>
  <c r="G10" i="8"/>
  <c r="I9" i="8"/>
  <c r="H153" i="8"/>
  <c r="I153" i="8"/>
  <c r="G154" i="8"/>
  <c r="K153" i="8"/>
  <c r="H177" i="8"/>
  <c r="G178" i="8"/>
  <c r="K177" i="8"/>
  <c r="I177" i="8"/>
  <c r="H21" i="8"/>
  <c r="K21" i="8"/>
  <c r="G22" i="8"/>
  <c r="I21" i="8"/>
  <c r="G190" i="8"/>
  <c r="H189" i="8"/>
  <c r="K189" i="8"/>
  <c r="I189" i="8"/>
  <c r="G46" i="8"/>
  <c r="I45" i="8"/>
  <c r="H45" i="8"/>
  <c r="K45" i="8"/>
  <c r="H118" i="8"/>
  <c r="I118" i="8"/>
  <c r="G119" i="8"/>
  <c r="K118" i="8"/>
  <c r="K253" i="8"/>
  <c r="I253" i="8"/>
  <c r="H253" i="8"/>
  <c r="I130" i="8"/>
  <c r="H130" i="8"/>
  <c r="G131" i="8"/>
  <c r="K130" i="8"/>
  <c r="H240" i="8"/>
  <c r="G241" i="8"/>
  <c r="K240" i="8"/>
  <c r="I240" i="8"/>
  <c r="AK7" i="6"/>
  <c r="AK6" i="6"/>
  <c r="A14" i="47" l="1"/>
  <c r="J19" i="55" s="1"/>
  <c r="D13" i="47"/>
  <c r="F13" i="47"/>
  <c r="C13" i="47"/>
  <c r="E13" i="47"/>
  <c r="G13" i="47"/>
  <c r="H13" i="47"/>
  <c r="H229" i="8"/>
  <c r="K229" i="8"/>
  <c r="I229" i="8"/>
  <c r="I217" i="8"/>
  <c r="K217" i="8"/>
  <c r="H217" i="8"/>
  <c r="H142" i="8"/>
  <c r="G143" i="8"/>
  <c r="K142" i="8"/>
  <c r="I142" i="8"/>
  <c r="I34" i="8"/>
  <c r="H34" i="8"/>
  <c r="G35" i="8"/>
  <c r="K34" i="8"/>
  <c r="I10" i="8"/>
  <c r="K10" i="8"/>
  <c r="G11" i="8"/>
  <c r="H10" i="8"/>
  <c r="I178" i="8"/>
  <c r="H178" i="8"/>
  <c r="G179" i="8"/>
  <c r="K178" i="8"/>
  <c r="G191" i="8"/>
  <c r="I190" i="8"/>
  <c r="H190" i="8"/>
  <c r="K190" i="8"/>
  <c r="K166" i="8"/>
  <c r="G167" i="8"/>
  <c r="H166" i="8"/>
  <c r="I166" i="8"/>
  <c r="K106" i="8"/>
  <c r="H106" i="8"/>
  <c r="G107" i="8"/>
  <c r="I106" i="8"/>
  <c r="G23" i="8"/>
  <c r="H22" i="8"/>
  <c r="I22" i="8"/>
  <c r="K22" i="8"/>
  <c r="H154" i="8"/>
  <c r="K154" i="8"/>
  <c r="G155" i="8"/>
  <c r="I154" i="8"/>
  <c r="H70" i="8"/>
  <c r="G71" i="8"/>
  <c r="K70" i="8"/>
  <c r="I70" i="8"/>
  <c r="I82" i="8"/>
  <c r="G83" i="8"/>
  <c r="K82" i="8"/>
  <c r="H82" i="8"/>
  <c r="H94" i="8"/>
  <c r="G95" i="8"/>
  <c r="K94" i="8"/>
  <c r="I94" i="8"/>
  <c r="G47" i="8"/>
  <c r="I46" i="8"/>
  <c r="H46" i="8"/>
  <c r="K46" i="8"/>
  <c r="I202" i="8"/>
  <c r="H202" i="8"/>
  <c r="G203" i="8"/>
  <c r="K202" i="8"/>
  <c r="K58" i="8"/>
  <c r="H58" i="8"/>
  <c r="G59" i="8"/>
  <c r="I58" i="8"/>
  <c r="H241" i="8"/>
  <c r="K241" i="8"/>
  <c r="I241" i="8"/>
  <c r="K119" i="8"/>
  <c r="I119" i="8"/>
  <c r="H119" i="8"/>
  <c r="G120" i="8"/>
  <c r="I131" i="8"/>
  <c r="H131" i="8"/>
  <c r="G132" i="8"/>
  <c r="K131" i="8"/>
  <c r="AL6" i="6"/>
  <c r="AL7" i="6"/>
  <c r="A15" i="47" l="1"/>
  <c r="J20" i="55" s="1"/>
  <c r="F14" i="47"/>
  <c r="D14" i="47"/>
  <c r="C14" i="47"/>
  <c r="H14" i="47"/>
  <c r="E14" i="47"/>
  <c r="G14" i="47"/>
  <c r="G204" i="8"/>
  <c r="I203" i="8"/>
  <c r="H203" i="8"/>
  <c r="K203" i="8"/>
  <c r="H179" i="8"/>
  <c r="G180" i="8"/>
  <c r="K179" i="8"/>
  <c r="I179" i="8"/>
  <c r="I35" i="8"/>
  <c r="K35" i="8"/>
  <c r="H35" i="8"/>
  <c r="G36" i="8"/>
  <c r="G96" i="8"/>
  <c r="H95" i="8"/>
  <c r="K95" i="8"/>
  <c r="I95" i="8"/>
  <c r="I71" i="8"/>
  <c r="H71" i="8"/>
  <c r="G72" i="8"/>
  <c r="K71" i="8"/>
  <c r="G168" i="8"/>
  <c r="K167" i="8"/>
  <c r="I167" i="8"/>
  <c r="H167" i="8"/>
  <c r="I23" i="8"/>
  <c r="H23" i="8"/>
  <c r="K23" i="8"/>
  <c r="G24" i="8"/>
  <c r="H59" i="8"/>
  <c r="G60" i="8"/>
  <c r="I59" i="8"/>
  <c r="K59" i="8"/>
  <c r="H155" i="8"/>
  <c r="I155" i="8"/>
  <c r="G156" i="8"/>
  <c r="K155" i="8"/>
  <c r="G108" i="8"/>
  <c r="I107" i="8"/>
  <c r="H107" i="8"/>
  <c r="K107" i="8"/>
  <c r="I11" i="8"/>
  <c r="H11" i="8"/>
  <c r="G12" i="8"/>
  <c r="K11" i="8"/>
  <c r="H83" i="8"/>
  <c r="G84" i="8"/>
  <c r="K83" i="8"/>
  <c r="I83" i="8"/>
  <c r="H143" i="8"/>
  <c r="I143" i="8"/>
  <c r="G144" i="8"/>
  <c r="K143" i="8"/>
  <c r="G48" i="8"/>
  <c r="H47" i="8"/>
  <c r="K47" i="8"/>
  <c r="I47" i="8"/>
  <c r="G192" i="8"/>
  <c r="H191" i="8"/>
  <c r="K191" i="8"/>
  <c r="I191" i="8"/>
  <c r="K132" i="8"/>
  <c r="I132" i="8"/>
  <c r="H132" i="8"/>
  <c r="G133" i="8"/>
  <c r="K120" i="8"/>
  <c r="I120" i="8"/>
  <c r="H120" i="8"/>
  <c r="G121" i="8"/>
  <c r="AM6" i="6"/>
  <c r="AM7" i="6"/>
  <c r="A16" i="47" l="1"/>
  <c r="J21" i="55" s="1"/>
  <c r="D15" i="47"/>
  <c r="F15" i="47"/>
  <c r="C15" i="47"/>
  <c r="E15" i="47"/>
  <c r="G15" i="47"/>
  <c r="H15" i="47"/>
  <c r="K84" i="8"/>
  <c r="G85" i="8"/>
  <c r="I84" i="8"/>
  <c r="H84" i="8"/>
  <c r="G61" i="8"/>
  <c r="H60" i="8"/>
  <c r="I60" i="8"/>
  <c r="K60" i="8"/>
  <c r="H180" i="8"/>
  <c r="K180" i="8"/>
  <c r="G181" i="8"/>
  <c r="I180" i="8"/>
  <c r="I48" i="8"/>
  <c r="H48" i="8"/>
  <c r="G49" i="8"/>
  <c r="K48" i="8"/>
  <c r="I108" i="8"/>
  <c r="H108" i="8"/>
  <c r="K108" i="8"/>
  <c r="G109" i="8"/>
  <c r="H168" i="8"/>
  <c r="G169" i="8"/>
  <c r="K168" i="8"/>
  <c r="I168" i="8"/>
  <c r="H96" i="8"/>
  <c r="I96" i="8"/>
  <c r="G97" i="8"/>
  <c r="K96" i="8"/>
  <c r="I24" i="8"/>
  <c r="H24" i="8"/>
  <c r="G25" i="8"/>
  <c r="K24" i="8"/>
  <c r="G37" i="8"/>
  <c r="I36" i="8"/>
  <c r="K36" i="8"/>
  <c r="H36" i="8"/>
  <c r="K144" i="8"/>
  <c r="I144" i="8"/>
  <c r="H144" i="8"/>
  <c r="G145" i="8"/>
  <c r="K12" i="8"/>
  <c r="H12" i="8"/>
  <c r="I12" i="8"/>
  <c r="G13" i="8"/>
  <c r="I156" i="8"/>
  <c r="H156" i="8"/>
  <c r="G157" i="8"/>
  <c r="K156" i="8"/>
  <c r="I72" i="8"/>
  <c r="G73" i="8"/>
  <c r="K72" i="8"/>
  <c r="H72" i="8"/>
  <c r="H192" i="8"/>
  <c r="G193" i="8"/>
  <c r="K192" i="8"/>
  <c r="I192" i="8"/>
  <c r="H204" i="8"/>
  <c r="I204" i="8"/>
  <c r="G205" i="8"/>
  <c r="K204" i="8"/>
  <c r="I121" i="8"/>
  <c r="K121" i="8"/>
  <c r="H121" i="8"/>
  <c r="K133" i="8"/>
  <c r="I133" i="8"/>
  <c r="H133" i="8"/>
  <c r="AN7" i="6"/>
  <c r="AN6" i="6"/>
  <c r="A17" i="47" l="1"/>
  <c r="J22" i="55" s="1"/>
  <c r="F16" i="47"/>
  <c r="D16" i="47"/>
  <c r="C16" i="47"/>
  <c r="E16" i="47"/>
  <c r="G16" i="47"/>
  <c r="H16" i="47"/>
  <c r="H145" i="8"/>
  <c r="I145" i="8"/>
  <c r="K145" i="8"/>
  <c r="H49" i="8"/>
  <c r="I49" i="8"/>
  <c r="K49" i="8"/>
  <c r="H169" i="8"/>
  <c r="I169" i="8"/>
  <c r="K169" i="8"/>
  <c r="K61" i="8"/>
  <c r="H61" i="8"/>
  <c r="I61" i="8"/>
  <c r="K25" i="8"/>
  <c r="I25" i="8"/>
  <c r="H25" i="8"/>
  <c r="K13" i="8"/>
  <c r="I13" i="8"/>
  <c r="H13" i="8"/>
  <c r="K109" i="8"/>
  <c r="H109" i="8"/>
  <c r="I109" i="8"/>
  <c r="H205" i="8"/>
  <c r="K205" i="8"/>
  <c r="I205" i="8"/>
  <c r="K97" i="8"/>
  <c r="I97" i="8"/>
  <c r="H97" i="8"/>
  <c r="K181" i="8"/>
  <c r="I181" i="8"/>
  <c r="H181" i="8"/>
  <c r="I73" i="8"/>
  <c r="K73" i="8"/>
  <c r="H73" i="8"/>
  <c r="H85" i="8"/>
  <c r="K85" i="8"/>
  <c r="I85" i="8"/>
  <c r="H157" i="8"/>
  <c r="K157" i="8"/>
  <c r="I157" i="8"/>
  <c r="I193" i="8"/>
  <c r="K193" i="8"/>
  <c r="H193" i="8"/>
  <c r="K37" i="8"/>
  <c r="H37" i="8"/>
  <c r="I37" i="8"/>
  <c r="AO6" i="6"/>
  <c r="AO7" i="6"/>
  <c r="A18" i="47" l="1"/>
  <c r="J23" i="55" s="1"/>
  <c r="D17" i="47"/>
  <c r="F17" i="47"/>
  <c r="C17" i="47"/>
  <c r="H17" i="47"/>
  <c r="E17" i="47"/>
  <c r="G17" i="47"/>
  <c r="AP6" i="6"/>
  <c r="AP7" i="6"/>
  <c r="D18" i="47" l="1"/>
  <c r="A19" i="47"/>
  <c r="J24" i="55" s="1"/>
  <c r="F18" i="47"/>
  <c r="C18" i="47"/>
  <c r="G18" i="47"/>
  <c r="E18" i="47"/>
  <c r="H18" i="47"/>
  <c r="AQ6" i="6"/>
  <c r="AQ7" i="6"/>
  <c r="F19" i="47" l="1"/>
  <c r="D19" i="47"/>
  <c r="A20" i="47"/>
  <c r="J25" i="55" s="1"/>
  <c r="C19" i="47"/>
  <c r="E19" i="47"/>
  <c r="H19" i="47"/>
  <c r="G19" i="47"/>
  <c r="AR6" i="6"/>
  <c r="AR7" i="6"/>
  <c r="D20" i="47" l="1"/>
  <c r="A21" i="47"/>
  <c r="J26" i="55" s="1"/>
  <c r="F20" i="47"/>
  <c r="C20" i="47"/>
  <c r="E20" i="47"/>
  <c r="H20" i="47"/>
  <c r="G20" i="47"/>
  <c r="AS7" i="6"/>
  <c r="AS6" i="6"/>
  <c r="A22" i="47" l="1"/>
  <c r="J27" i="55" s="1"/>
  <c r="F21" i="47"/>
  <c r="D21" i="47"/>
  <c r="C21" i="47"/>
  <c r="G21" i="47"/>
  <c r="E21" i="47"/>
  <c r="H21" i="47"/>
  <c r="AT7" i="6"/>
  <c r="AT6" i="6"/>
  <c r="A23" i="47" l="1"/>
  <c r="J28" i="55" s="1"/>
  <c r="G22" i="47"/>
  <c r="F22" i="47"/>
  <c r="C22" i="47"/>
  <c r="D22" i="47"/>
  <c r="H22" i="47"/>
  <c r="E22" i="47"/>
  <c r="AU7" i="6"/>
  <c r="AU6" i="6"/>
  <c r="A24" i="47" l="1"/>
  <c r="J29" i="55" s="1"/>
  <c r="D23" i="47"/>
  <c r="F23" i="47"/>
  <c r="C23" i="47"/>
  <c r="G23" i="47"/>
  <c r="E23" i="47"/>
  <c r="H23" i="47"/>
  <c r="AV6" i="6"/>
  <c r="AV7" i="6"/>
  <c r="D24" i="47" l="1"/>
  <c r="C24" i="47"/>
  <c r="F24" i="47"/>
  <c r="G24" i="47"/>
  <c r="E24" i="47"/>
  <c r="A25" i="47"/>
  <c r="J30" i="55" s="1"/>
  <c r="H24" i="47"/>
  <c r="AW6" i="6"/>
  <c r="AW7" i="6"/>
  <c r="G25" i="47" l="1"/>
  <c r="F25" i="47"/>
  <c r="E25" i="47"/>
  <c r="C25" i="47"/>
  <c r="D25" i="47"/>
  <c r="H25" i="47"/>
  <c r="A26" i="47"/>
  <c r="J31" i="55" s="1"/>
  <c r="AX6" i="6"/>
  <c r="AX7" i="6"/>
  <c r="D26" i="47" l="1"/>
  <c r="F26" i="47"/>
  <c r="C26" i="47"/>
  <c r="G26" i="47"/>
  <c r="A27" i="47"/>
  <c r="J32" i="55" s="1"/>
  <c r="H26" i="47"/>
  <c r="E26" i="47"/>
  <c r="AY6" i="6"/>
  <c r="AY7" i="6"/>
  <c r="D27" i="47" l="1"/>
  <c r="H27" i="47"/>
  <c r="C27" i="47"/>
  <c r="F27" i="47"/>
  <c r="G27" i="47"/>
  <c r="E27" i="47"/>
  <c r="A28" i="47"/>
  <c r="J33" i="55" s="1"/>
  <c r="AZ6" i="6"/>
  <c r="AZ7" i="6"/>
  <c r="C28" i="47" l="1"/>
  <c r="F28" i="47"/>
  <c r="D28" i="47"/>
  <c r="H28" i="47"/>
  <c r="E28" i="47"/>
  <c r="G28" i="47"/>
  <c r="A29" i="47"/>
  <c r="J34" i="55" s="1"/>
  <c r="BA7" i="6"/>
  <c r="BA6" i="6"/>
  <c r="E29" i="47" l="1"/>
  <c r="C29" i="47"/>
  <c r="A30" i="47"/>
  <c r="J35" i="55" s="1"/>
  <c r="H29" i="47"/>
  <c r="F29" i="47"/>
  <c r="D29" i="47"/>
  <c r="G29" i="47"/>
  <c r="BB7" i="6"/>
  <c r="BB6" i="6"/>
  <c r="G30" i="47" l="1"/>
  <c r="A31" i="47"/>
  <c r="J36" i="55" s="1"/>
  <c r="E30" i="47"/>
  <c r="C30" i="47"/>
  <c r="H30" i="47"/>
  <c r="F30" i="47"/>
  <c r="D30" i="47"/>
  <c r="BC7" i="6"/>
  <c r="BC6" i="6"/>
  <c r="A32" i="47" l="1"/>
  <c r="J37" i="55" s="1"/>
  <c r="F31" i="47"/>
  <c r="H31" i="47"/>
  <c r="G31" i="47"/>
  <c r="E31" i="47"/>
  <c r="D31" i="47"/>
  <c r="C31" i="47"/>
  <c r="BD6" i="6"/>
  <c r="BD7" i="6"/>
  <c r="E32" i="47" l="1"/>
  <c r="G32" i="47"/>
  <c r="C32" i="47"/>
  <c r="A33" i="47"/>
  <c r="J38" i="55" s="1"/>
  <c r="H32" i="47"/>
  <c r="F32" i="47"/>
  <c r="D32" i="47"/>
  <c r="BE6" i="6"/>
  <c r="BE7" i="6"/>
  <c r="C33" i="47" l="1"/>
  <c r="H33" i="47"/>
  <c r="A34" i="47"/>
  <c r="J39" i="55" s="1"/>
  <c r="G33" i="47"/>
  <c r="F33" i="47"/>
  <c r="D33" i="47"/>
  <c r="E33" i="47"/>
  <c r="BF6" i="6"/>
  <c r="BF7" i="6"/>
  <c r="A35" i="47" l="1"/>
  <c r="J40" i="55" s="1"/>
  <c r="H34" i="47"/>
  <c r="G34" i="47"/>
  <c r="E34" i="47"/>
  <c r="F34" i="47"/>
  <c r="C34" i="47"/>
  <c r="D34" i="47"/>
  <c r="BG6" i="6"/>
  <c r="BG7" i="6"/>
  <c r="E35" i="47" l="1"/>
  <c r="G35" i="47"/>
  <c r="C35" i="47"/>
  <c r="A36" i="47"/>
  <c r="J41" i="55" s="1"/>
  <c r="F35" i="47"/>
  <c r="H35" i="47"/>
  <c r="D35" i="47"/>
  <c r="BH6" i="6"/>
  <c r="BH7" i="6"/>
  <c r="G36" i="47" l="1"/>
  <c r="C36" i="47"/>
  <c r="F36" i="47"/>
  <c r="E36" i="47"/>
  <c r="D36" i="47"/>
  <c r="H36" i="47"/>
  <c r="A37" i="47"/>
  <c r="J42" i="55" s="1"/>
  <c r="BI7" i="6"/>
  <c r="BI6" i="6"/>
  <c r="E37" i="47" l="1"/>
  <c r="C37" i="47"/>
  <c r="F37" i="47"/>
  <c r="D37" i="47"/>
  <c r="G37" i="47"/>
  <c r="A38" i="47"/>
  <c r="J43" i="55" s="1"/>
  <c r="H37" i="47"/>
  <c r="BJ6" i="6"/>
  <c r="BJ7" i="6"/>
  <c r="G38" i="47" l="1"/>
  <c r="E38" i="47"/>
  <c r="C38" i="47"/>
  <c r="A39" i="47"/>
  <c r="J44" i="55" s="1"/>
  <c r="H38" i="47"/>
  <c r="F38" i="47"/>
  <c r="D38" i="47"/>
  <c r="BK7" i="6"/>
  <c r="BK6" i="6"/>
  <c r="A40" i="47" l="1"/>
  <c r="J45" i="55" s="1"/>
  <c r="H39" i="47"/>
  <c r="E39" i="47"/>
  <c r="F39" i="47"/>
  <c r="C39" i="47"/>
  <c r="G39" i="47"/>
  <c r="D39" i="47"/>
  <c r="BL7" i="6"/>
  <c r="BL6" i="6"/>
  <c r="E40" i="47" l="1"/>
  <c r="A41" i="47"/>
  <c r="J46" i="55" s="1"/>
  <c r="G40" i="47"/>
  <c r="C40" i="47"/>
  <c r="H40" i="47"/>
  <c r="D40" i="47"/>
  <c r="F40" i="47"/>
  <c r="BM6" i="6"/>
  <c r="BM7" i="6"/>
  <c r="G41" i="47" l="1"/>
  <c r="H41" i="47"/>
  <c r="C41" i="47"/>
  <c r="E41" i="47"/>
  <c r="A42" i="47"/>
  <c r="J47" i="55" s="1"/>
  <c r="F41" i="47"/>
  <c r="D41" i="47"/>
  <c r="BN6" i="6"/>
  <c r="BN7" i="6"/>
  <c r="H42" i="47" l="1"/>
  <c r="G42" i="47"/>
  <c r="E42" i="47"/>
  <c r="C42" i="47"/>
  <c r="F42" i="47"/>
  <c r="D42" i="47"/>
  <c r="A43" i="47"/>
  <c r="J48" i="55" s="1"/>
  <c r="BO6" i="6"/>
  <c r="BO7" i="6"/>
  <c r="H43" i="47" l="1"/>
  <c r="E43" i="47"/>
  <c r="C43" i="47"/>
  <c r="A44" i="47"/>
  <c r="J49" i="55" s="1"/>
  <c r="F43" i="47"/>
  <c r="D43" i="47"/>
  <c r="G43" i="47"/>
  <c r="BP6" i="6"/>
  <c r="BP7" i="6"/>
  <c r="C44" i="47" l="1"/>
  <c r="D44" i="47"/>
  <c r="E44" i="47"/>
  <c r="A45" i="47"/>
  <c r="J50" i="55" s="1"/>
  <c r="G44" i="47"/>
  <c r="F44" i="47"/>
  <c r="H44" i="47"/>
  <c r="BQ7" i="6"/>
  <c r="BQ6" i="6"/>
  <c r="E45" i="47" l="1"/>
  <c r="F45" i="47"/>
  <c r="A46" i="47"/>
  <c r="J51" i="55" s="1"/>
  <c r="C45" i="47"/>
  <c r="H45" i="47"/>
  <c r="D45" i="47"/>
  <c r="G45" i="47"/>
  <c r="BR6" i="6"/>
  <c r="BR7" i="6"/>
  <c r="C46" i="47" l="1"/>
  <c r="E46" i="47"/>
  <c r="D46" i="47"/>
  <c r="G46" i="47"/>
  <c r="A47" i="47"/>
  <c r="J52" i="55" s="1"/>
  <c r="F46" i="47"/>
  <c r="H46" i="47"/>
  <c r="BS7" i="6"/>
  <c r="BS6" i="6"/>
  <c r="E47" i="47" l="1"/>
  <c r="D47" i="47"/>
  <c r="A48" i="47"/>
  <c r="J53" i="55" s="1"/>
  <c r="H47" i="47"/>
  <c r="G47" i="47"/>
  <c r="C47" i="47"/>
  <c r="F47" i="47"/>
  <c r="BT7" i="6"/>
  <c r="BT6" i="6"/>
  <c r="H48" i="47" l="1"/>
  <c r="F48" i="47"/>
  <c r="C48" i="47"/>
  <c r="A49" i="47"/>
  <c r="J54" i="55" s="1"/>
  <c r="G48" i="47"/>
  <c r="E48" i="47"/>
  <c r="D48" i="47"/>
  <c r="BU6" i="6"/>
  <c r="BU7" i="6"/>
  <c r="G49" i="47" l="1"/>
  <c r="C49" i="47"/>
  <c r="D49" i="47"/>
  <c r="F49" i="47"/>
  <c r="E49" i="47"/>
  <c r="H49" i="47"/>
  <c r="A50" i="47"/>
  <c r="J55" i="55" s="1"/>
  <c r="BV7" i="6"/>
  <c r="BV6" i="6"/>
  <c r="H50" i="47" l="1"/>
  <c r="F50" i="47"/>
  <c r="G50" i="47"/>
  <c r="A51" i="47"/>
  <c r="J56" i="55" s="1"/>
  <c r="E50" i="47"/>
  <c r="C50" i="47"/>
  <c r="D50" i="47"/>
  <c r="BW6" i="6"/>
  <c r="BW7" i="6"/>
  <c r="H51" i="47" l="1"/>
  <c r="E51" i="47"/>
  <c r="A52" i="47"/>
  <c r="J57" i="55" s="1"/>
  <c r="G51" i="47"/>
  <c r="F51" i="47"/>
  <c r="D51" i="47"/>
  <c r="C51" i="47"/>
  <c r="BX7" i="6"/>
  <c r="BX6" i="6"/>
  <c r="C52" i="47" l="1"/>
  <c r="D52" i="47"/>
  <c r="E52" i="47"/>
  <c r="A53" i="47"/>
  <c r="J58" i="55" s="1"/>
  <c r="H52" i="47"/>
  <c r="G52" i="47"/>
  <c r="F52" i="47"/>
  <c r="BY7" i="6"/>
  <c r="BY6" i="6"/>
  <c r="G53" i="47" l="1"/>
  <c r="E53" i="47"/>
  <c r="A54" i="47"/>
  <c r="J59" i="55" s="1"/>
  <c r="H53" i="47"/>
  <c r="C53" i="47"/>
  <c r="F53" i="47"/>
  <c r="D53" i="47"/>
  <c r="BZ6" i="6"/>
  <c r="BZ7" i="6"/>
  <c r="C54" i="47" l="1"/>
  <c r="E54" i="47"/>
  <c r="A55" i="47"/>
  <c r="J60" i="55" s="1"/>
  <c r="H54" i="47"/>
  <c r="D54" i="47"/>
  <c r="F54" i="47"/>
  <c r="G54" i="47"/>
  <c r="CA7" i="6"/>
  <c r="CA6" i="6"/>
  <c r="E55" i="47" l="1"/>
  <c r="A56" i="47"/>
  <c r="J61" i="55" s="1"/>
  <c r="G55" i="47"/>
  <c r="C55" i="47"/>
  <c r="D55" i="47"/>
  <c r="F55" i="47"/>
  <c r="H55" i="47"/>
  <c r="CB6" i="6"/>
  <c r="CC6" i="6" s="1"/>
  <c r="CD6" i="6" s="1"/>
  <c r="CB7" i="6"/>
  <c r="CC7" i="6" s="1"/>
  <c r="CD7" i="6" s="1"/>
  <c r="C56" i="47" l="1"/>
  <c r="F56" i="47"/>
  <c r="D56" i="47"/>
  <c r="A57" i="47"/>
  <c r="J62" i="55" s="1"/>
  <c r="G56" i="47"/>
  <c r="H56" i="47"/>
  <c r="E56" i="47"/>
  <c r="G57" i="47" l="1"/>
  <c r="D57" i="47"/>
  <c r="H57" i="47"/>
  <c r="A58" i="47"/>
  <c r="J63" i="55" s="1"/>
  <c r="F57" i="47"/>
  <c r="C57" i="47"/>
  <c r="E57" i="47"/>
  <c r="H58" i="47" l="1"/>
  <c r="F58" i="47"/>
  <c r="A59" i="47"/>
  <c r="J64" i="55" s="1"/>
  <c r="G58" i="47"/>
  <c r="E58" i="47"/>
  <c r="C58" i="47"/>
  <c r="D58" i="47"/>
  <c r="H59" i="47" l="1"/>
  <c r="A60" i="47"/>
  <c r="J65" i="55" s="1"/>
  <c r="F59" i="47"/>
  <c r="E59" i="47"/>
  <c r="C59" i="47"/>
  <c r="G59" i="47"/>
  <c r="D59" i="47"/>
  <c r="C60" i="47" l="1"/>
  <c r="A61" i="47"/>
  <c r="J66" i="55" s="1"/>
  <c r="D60" i="47"/>
  <c r="G60" i="47"/>
  <c r="E60" i="47"/>
  <c r="H60" i="47"/>
  <c r="F60" i="47"/>
  <c r="E61" i="47" l="1"/>
  <c r="F61" i="47"/>
  <c r="D61" i="47"/>
  <c r="A62" i="47"/>
  <c r="J67" i="55" s="1"/>
  <c r="C61" i="47"/>
  <c r="H61" i="47"/>
  <c r="G61" i="47"/>
  <c r="C62" i="47" l="1"/>
  <c r="E62" i="47"/>
  <c r="A63" i="47"/>
  <c r="J68" i="55" s="1"/>
  <c r="F62" i="47"/>
  <c r="G62" i="47"/>
  <c r="H62" i="47"/>
  <c r="D62" i="47"/>
  <c r="E63" i="47" l="1"/>
  <c r="F63" i="47"/>
  <c r="A64" i="47"/>
  <c r="J69" i="55" s="1"/>
  <c r="C63" i="47"/>
  <c r="D63" i="47"/>
  <c r="G63" i="47"/>
  <c r="H63" i="47"/>
  <c r="H64" i="47" l="1"/>
  <c r="D64" i="47"/>
  <c r="F64" i="47"/>
  <c r="A65" i="47"/>
  <c r="J70" i="55" s="1"/>
  <c r="E64" i="47"/>
  <c r="C64" i="47"/>
  <c r="G64" i="47"/>
  <c r="G65" i="47" l="1"/>
  <c r="D65" i="47"/>
  <c r="H65" i="47"/>
  <c r="E65" i="47"/>
  <c r="A66" i="47"/>
  <c r="J71" i="55" s="1"/>
  <c r="C65" i="47"/>
  <c r="F65" i="47"/>
  <c r="H66" i="47" l="1"/>
  <c r="D66" i="47"/>
  <c r="G66" i="47"/>
  <c r="C66" i="47"/>
  <c r="F66" i="47"/>
  <c r="E66" i="47"/>
  <c r="A67" i="47"/>
  <c r="J72" i="55" s="1"/>
  <c r="H67" i="47" l="1"/>
  <c r="A68" i="47"/>
  <c r="J73" i="55" s="1"/>
  <c r="G67" i="47"/>
  <c r="E67" i="47"/>
  <c r="F67" i="47"/>
  <c r="D67" i="47"/>
  <c r="C67" i="47"/>
  <c r="C68" i="47" l="1"/>
  <c r="A69" i="47"/>
  <c r="J74" i="55" s="1"/>
  <c r="H68" i="47"/>
  <c r="G68" i="47"/>
  <c r="E68" i="47"/>
  <c r="D68" i="47"/>
  <c r="F68" i="47"/>
  <c r="E69" i="47" l="1"/>
  <c r="C69" i="47"/>
  <c r="F69" i="47"/>
  <c r="D69" i="47"/>
  <c r="H69" i="47"/>
  <c r="A70" i="47"/>
  <c r="J75" i="55" s="1"/>
  <c r="G69" i="47"/>
  <c r="E70" i="47" l="1"/>
  <c r="C70" i="47"/>
  <c r="F70" i="47"/>
  <c r="D70" i="47"/>
  <c r="A71" i="47"/>
  <c r="J76" i="55" s="1"/>
  <c r="H70" i="47"/>
  <c r="G70" i="47"/>
  <c r="G71" i="47" l="1"/>
  <c r="H71" i="47"/>
  <c r="E71" i="47"/>
  <c r="C71" i="47"/>
  <c r="F71" i="47"/>
  <c r="A72" i="47"/>
  <c r="J77" i="55" s="1"/>
  <c r="D71" i="47"/>
  <c r="G72" i="47" l="1"/>
  <c r="D72" i="47"/>
  <c r="E72" i="47"/>
  <c r="H72" i="47"/>
  <c r="C72" i="47"/>
  <c r="F72" i="47"/>
  <c r="A73" i="47"/>
  <c r="J78" i="55" s="1"/>
  <c r="G73" i="47" l="1"/>
  <c r="C73" i="47"/>
  <c r="A74" i="47"/>
  <c r="J79" i="55" s="1"/>
  <c r="F73" i="47"/>
  <c r="H73" i="47"/>
  <c r="E73" i="47"/>
  <c r="D73" i="47"/>
  <c r="E74" i="47" l="1"/>
  <c r="C74" i="47"/>
  <c r="H74" i="47"/>
  <c r="D74" i="47"/>
  <c r="G74" i="47"/>
  <c r="A75" i="47"/>
  <c r="J80" i="55" s="1"/>
  <c r="F74" i="47"/>
  <c r="C75" i="47" l="1"/>
  <c r="G75" i="47"/>
  <c r="F75" i="47"/>
  <c r="E75" i="47"/>
  <c r="A76" i="47"/>
  <c r="J81" i="55" s="1"/>
  <c r="H75" i="47"/>
  <c r="D75" i="47"/>
  <c r="A77" i="47" l="1"/>
  <c r="J82" i="55" s="1"/>
  <c r="E76" i="47"/>
  <c r="H76" i="47"/>
  <c r="D76" i="47"/>
  <c r="G76" i="47"/>
  <c r="F76" i="47"/>
  <c r="C76" i="47"/>
  <c r="G77" i="47" l="1"/>
  <c r="C77" i="47"/>
  <c r="H77" i="47"/>
  <c r="F77" i="47"/>
  <c r="A78" i="47"/>
  <c r="J83" i="55" s="1"/>
  <c r="E77" i="47"/>
  <c r="D77" i="47"/>
  <c r="E78" i="47" l="1"/>
  <c r="C78" i="47"/>
  <c r="A79" i="47"/>
  <c r="J84" i="55" s="1"/>
  <c r="F78" i="47"/>
  <c r="D78" i="47"/>
  <c r="G78" i="47"/>
  <c r="H78" i="47"/>
  <c r="G79" i="47" l="1"/>
  <c r="C79" i="47"/>
  <c r="A80" i="47"/>
  <c r="J85" i="55" s="1"/>
  <c r="H79" i="47"/>
  <c r="E79" i="47"/>
  <c r="F79" i="47"/>
  <c r="D79" i="47"/>
  <c r="G80" i="47" l="1"/>
  <c r="F80" i="47"/>
  <c r="E80" i="47"/>
  <c r="C80" i="47"/>
  <c r="H80" i="47"/>
  <c r="A81" i="47"/>
  <c r="J86" i="55" s="1"/>
  <c r="D80" i="47"/>
  <c r="G81" i="47" l="1"/>
  <c r="A82" i="47"/>
  <c r="J87" i="55" s="1"/>
  <c r="D81" i="47"/>
  <c r="C81" i="47"/>
  <c r="F81" i="47"/>
  <c r="E81" i="47"/>
  <c r="H81" i="47"/>
  <c r="E82" i="47" l="1"/>
  <c r="D82" i="47"/>
  <c r="C82" i="47"/>
  <c r="A83" i="47"/>
  <c r="J88" i="55" s="1"/>
  <c r="H82" i="47"/>
  <c r="G82" i="47"/>
  <c r="F82" i="47"/>
  <c r="A84" i="47" l="1"/>
  <c r="J89" i="55" s="1"/>
  <c r="G83" i="47"/>
  <c r="E83" i="47"/>
  <c r="H83" i="47"/>
  <c r="C83" i="47"/>
  <c r="D83" i="47"/>
  <c r="F83" i="47"/>
  <c r="C84" i="47" l="1"/>
  <c r="F84" i="47"/>
  <c r="A85" i="47"/>
  <c r="J90" i="55" s="1"/>
  <c r="G84" i="47"/>
  <c r="H84" i="47"/>
  <c r="E84" i="47"/>
  <c r="D84" i="47"/>
  <c r="G85" i="47" l="1"/>
  <c r="F85" i="47"/>
  <c r="H85" i="47"/>
  <c r="E85" i="47"/>
  <c r="C85" i="47"/>
  <c r="A86" i="47"/>
  <c r="J91" i="55" s="1"/>
  <c r="D85" i="47"/>
  <c r="E86" i="47" l="1"/>
  <c r="F86" i="47"/>
  <c r="C86" i="47"/>
  <c r="A87" i="47"/>
  <c r="J92" i="55" s="1"/>
  <c r="H86" i="47"/>
  <c r="D86" i="47"/>
  <c r="G86" i="47"/>
  <c r="E87" i="47" l="1"/>
  <c r="A88" i="47"/>
  <c r="J93" i="55" s="1"/>
  <c r="G87" i="47"/>
  <c r="C87" i="47"/>
  <c r="D87" i="47"/>
  <c r="H87" i="47"/>
  <c r="F87" i="47"/>
  <c r="C88" i="47" l="1"/>
  <c r="A89" i="47"/>
  <c r="J94" i="55" s="1"/>
  <c r="D88" i="47"/>
  <c r="H88" i="47"/>
  <c r="G88" i="47"/>
  <c r="E88" i="47"/>
  <c r="F88" i="47"/>
  <c r="G89" i="47" l="1"/>
  <c r="C89" i="47"/>
  <c r="A90" i="47"/>
  <c r="J95" i="55" s="1"/>
  <c r="D89" i="47"/>
  <c r="E89" i="47"/>
  <c r="F89" i="47"/>
  <c r="H89" i="47"/>
  <c r="H90" i="47" l="1"/>
  <c r="D90" i="47"/>
  <c r="G90" i="47"/>
  <c r="A91" i="47"/>
  <c r="J96" i="55" s="1"/>
  <c r="E90" i="47"/>
  <c r="C90" i="47"/>
  <c r="F90" i="47"/>
  <c r="A92" i="47" l="1"/>
  <c r="J97" i="55" s="1"/>
  <c r="H91" i="47"/>
  <c r="E91" i="47"/>
  <c r="C91" i="47"/>
  <c r="F91" i="47"/>
  <c r="D91" i="47"/>
  <c r="G91" i="47"/>
  <c r="C92" i="47" l="1"/>
  <c r="H92" i="47"/>
  <c r="F92" i="47"/>
  <c r="A93" i="47"/>
  <c r="J98" i="55" s="1"/>
  <c r="E92" i="47"/>
  <c r="G92" i="47"/>
  <c r="D92" i="47"/>
  <c r="E93" i="47" l="1"/>
  <c r="A94" i="47"/>
  <c r="J99" i="55" s="1"/>
  <c r="D93" i="47"/>
  <c r="C93" i="47"/>
  <c r="H93" i="47"/>
  <c r="F93" i="47"/>
  <c r="G93" i="47"/>
  <c r="E94" i="47" l="1"/>
  <c r="C94" i="47"/>
  <c r="A95" i="47"/>
  <c r="J100" i="55" s="1"/>
  <c r="F94" i="47"/>
  <c r="H94" i="47"/>
  <c r="D94" i="47"/>
  <c r="G94" i="47"/>
  <c r="E95" i="47" l="1"/>
  <c r="A96" i="47"/>
  <c r="J101" i="55" s="1"/>
  <c r="G95" i="47"/>
  <c r="C95" i="47"/>
  <c r="D95" i="47"/>
  <c r="H95" i="47"/>
  <c r="F95" i="47"/>
  <c r="H96" i="47" l="1"/>
  <c r="E96" i="47"/>
  <c r="A97" i="47"/>
  <c r="J102" i="55" s="1"/>
  <c r="G96" i="47"/>
  <c r="F96" i="47"/>
  <c r="D96" i="47"/>
  <c r="C96" i="47"/>
  <c r="G97" i="47" l="1"/>
  <c r="E97" i="47"/>
  <c r="C97" i="47"/>
  <c r="H97" i="47"/>
  <c r="A98" i="47"/>
  <c r="J103" i="55" s="1"/>
  <c r="D97" i="47"/>
  <c r="F97" i="47"/>
  <c r="H98" i="47" l="1"/>
  <c r="G98" i="47"/>
  <c r="E98" i="47"/>
  <c r="C98" i="47"/>
  <c r="D98" i="47"/>
  <c r="F98" i="47"/>
  <c r="A99" i="47"/>
  <c r="J104" i="55" s="1"/>
  <c r="A100" i="47" l="1"/>
  <c r="J105" i="55" s="1"/>
  <c r="F99" i="47"/>
  <c r="C99" i="47"/>
  <c r="H99" i="47"/>
  <c r="G99" i="47"/>
  <c r="E99" i="47"/>
  <c r="D99" i="47"/>
  <c r="C100" i="47" l="1"/>
  <c r="F100" i="47"/>
  <c r="A101" i="47"/>
  <c r="J106" i="55" s="1"/>
  <c r="G100" i="47"/>
  <c r="H100" i="47"/>
  <c r="E100" i="47"/>
  <c r="D100" i="47"/>
  <c r="G101" i="47" l="1"/>
  <c r="E101" i="47"/>
  <c r="D101" i="47"/>
  <c r="C101" i="47"/>
  <c r="A102" i="47"/>
  <c r="J107" i="55" s="1"/>
  <c r="F101" i="47"/>
  <c r="H101" i="47"/>
  <c r="E102" i="47" l="1"/>
  <c r="F102" i="47"/>
  <c r="C102" i="47"/>
  <c r="A103" i="47"/>
  <c r="J108" i="55" s="1"/>
  <c r="H102" i="47"/>
  <c r="D102" i="47"/>
  <c r="G102" i="47"/>
  <c r="E103" i="47" l="1"/>
  <c r="A104" i="47"/>
  <c r="J109" i="55" s="1"/>
  <c r="G103" i="47"/>
  <c r="C103" i="47"/>
  <c r="F103" i="47"/>
  <c r="D103" i="47"/>
  <c r="H103" i="47"/>
  <c r="C104" i="47" l="1"/>
  <c r="F104" i="47"/>
  <c r="A105" i="47"/>
  <c r="J110" i="55" s="1"/>
  <c r="G104" i="47"/>
  <c r="D104" i="47"/>
  <c r="E104" i="47"/>
  <c r="H104" i="47"/>
  <c r="G105" i="47" l="1"/>
  <c r="C105" i="47"/>
  <c r="A106" i="47"/>
  <c r="J111" i="55" s="1"/>
  <c r="E105" i="47"/>
  <c r="D105" i="47"/>
  <c r="H105" i="47"/>
  <c r="F105" i="47"/>
  <c r="C106" i="47" l="1"/>
  <c r="H106" i="47"/>
  <c r="F106" i="47"/>
  <c r="G106" i="47"/>
  <c r="E106" i="47"/>
  <c r="A107" i="47"/>
  <c r="J112" i="55" s="1"/>
  <c r="D106" i="47"/>
  <c r="E107" i="47" l="1"/>
  <c r="D107" i="47"/>
  <c r="H107" i="47"/>
  <c r="A108" i="47"/>
  <c r="J113" i="55" s="1"/>
  <c r="G107" i="47"/>
  <c r="C107" i="47"/>
  <c r="F107" i="47"/>
  <c r="C108" i="47" l="1"/>
  <c r="D108" i="47"/>
  <c r="F108" i="47"/>
  <c r="A109" i="47"/>
  <c r="J114" i="55" s="1"/>
  <c r="G108" i="47"/>
  <c r="H108" i="47"/>
  <c r="E108" i="47"/>
  <c r="C109" i="47" l="1"/>
  <c r="F109" i="47"/>
  <c r="A110" i="47"/>
  <c r="J115" i="55" s="1"/>
  <c r="G109" i="47"/>
  <c r="H109" i="47"/>
  <c r="D109" i="47"/>
  <c r="E109" i="47"/>
  <c r="G110" i="47" l="1"/>
  <c r="C110" i="47"/>
  <c r="A111" i="47"/>
  <c r="J116" i="55" s="1"/>
  <c r="D110" i="47"/>
  <c r="F110" i="47"/>
  <c r="E110" i="47"/>
  <c r="H110" i="47"/>
  <c r="H111" i="47" l="1"/>
  <c r="G111" i="47"/>
  <c r="D111" i="47"/>
  <c r="A112" i="47"/>
  <c r="J117" i="55" s="1"/>
  <c r="E111" i="47"/>
  <c r="C111" i="47"/>
  <c r="F111" i="47"/>
  <c r="H112" i="47" l="1"/>
  <c r="F112" i="47"/>
  <c r="A113" i="47"/>
  <c r="J118" i="55" s="1"/>
  <c r="G112" i="47"/>
  <c r="E112" i="47"/>
  <c r="D112" i="47"/>
  <c r="C112" i="47"/>
  <c r="H113" i="47" l="1"/>
  <c r="G113" i="47"/>
  <c r="F113" i="47"/>
  <c r="A114" i="47"/>
  <c r="J119" i="55" s="1"/>
  <c r="E113" i="47"/>
  <c r="C113" i="47"/>
  <c r="D113" i="47"/>
  <c r="G114" i="47" l="1"/>
  <c r="E114" i="47"/>
  <c r="D114" i="47"/>
  <c r="H114" i="47"/>
  <c r="A115" i="47"/>
  <c r="J120" i="55" s="1"/>
  <c r="C114" i="47"/>
  <c r="F114" i="47"/>
  <c r="E115" i="47" l="1"/>
  <c r="G115" i="47"/>
  <c r="H115" i="47"/>
  <c r="F115" i="47"/>
  <c r="A116" i="47"/>
  <c r="J121" i="55" s="1"/>
  <c r="D115" i="47"/>
  <c r="C115" i="47"/>
  <c r="C116" i="47" l="1"/>
  <c r="D116" i="47"/>
  <c r="A117" i="47"/>
  <c r="J122" i="55" s="1"/>
  <c r="E116" i="47"/>
  <c r="H116" i="47"/>
  <c r="G116" i="47"/>
  <c r="F116" i="47"/>
  <c r="H117" i="47" l="1"/>
  <c r="D117" i="47"/>
  <c r="E117" i="47"/>
  <c r="C117" i="47"/>
  <c r="F117" i="47"/>
  <c r="G117" i="47"/>
  <c r="A118" i="47"/>
  <c r="J123" i="55" s="1"/>
  <c r="G118" i="47" l="1"/>
  <c r="C118" i="47"/>
  <c r="F118" i="47"/>
  <c r="D118" i="47"/>
  <c r="E118" i="47"/>
  <c r="H118" i="47"/>
  <c r="A119" i="47"/>
  <c r="J124" i="55" s="1"/>
  <c r="H119" i="47" l="1"/>
  <c r="E119" i="47"/>
  <c r="C119" i="47"/>
  <c r="D119" i="47"/>
  <c r="A120" i="47"/>
  <c r="J125" i="55" s="1"/>
  <c r="G119" i="47"/>
  <c r="F119" i="47"/>
  <c r="C120" i="47" l="1"/>
  <c r="A121" i="47"/>
  <c r="J126" i="55" s="1"/>
  <c r="G120" i="47"/>
  <c r="F120" i="47"/>
  <c r="H120" i="47"/>
  <c r="E120" i="47"/>
  <c r="D120" i="47"/>
  <c r="H121" i="47" l="1"/>
  <c r="D121" i="47"/>
  <c r="G121" i="47"/>
  <c r="E121" i="47"/>
  <c r="A122" i="47"/>
  <c r="J127" i="55" s="1"/>
  <c r="F121" i="47"/>
  <c r="C121" i="47"/>
  <c r="G122" i="47" l="1"/>
  <c r="H122" i="47"/>
  <c r="A123" i="47"/>
  <c r="J128" i="55" s="1"/>
  <c r="E122" i="47"/>
  <c r="C122" i="47"/>
  <c r="D122" i="47"/>
  <c r="F122" i="47"/>
  <c r="E123" i="47" l="1"/>
  <c r="F123" i="47"/>
  <c r="H123" i="47"/>
  <c r="A124" i="47"/>
  <c r="J129" i="55" s="1"/>
  <c r="G123" i="47"/>
  <c r="D123" i="47"/>
  <c r="C123" i="47"/>
  <c r="C124" i="47" l="1"/>
  <c r="D124" i="47"/>
  <c r="A125" i="47"/>
  <c r="J130" i="55" s="1"/>
  <c r="E124" i="47"/>
  <c r="H124" i="47"/>
  <c r="G124" i="47"/>
  <c r="F124" i="47"/>
  <c r="H125" i="47" l="1"/>
  <c r="D125" i="47"/>
  <c r="C125" i="47"/>
  <c r="G125" i="47"/>
  <c r="F125" i="47"/>
  <c r="E125" i="47"/>
  <c r="A126" i="47"/>
  <c r="J131" i="55" s="1"/>
  <c r="G126" i="47" l="1"/>
  <c r="C126" i="47"/>
  <c r="A127" i="47"/>
  <c r="J132" i="55" s="1"/>
  <c r="F126" i="47"/>
  <c r="E126" i="47"/>
  <c r="D126" i="47"/>
  <c r="H126" i="47"/>
  <c r="H127" i="47" l="1"/>
  <c r="E127" i="47"/>
  <c r="G127" i="47"/>
  <c r="C127" i="47"/>
  <c r="D127" i="47"/>
  <c r="A128" i="47"/>
  <c r="J133" i="55" s="1"/>
  <c r="F127" i="47"/>
  <c r="C128" i="47" l="1"/>
  <c r="F128" i="47"/>
  <c r="A129" i="47"/>
  <c r="J134" i="55" s="1"/>
  <c r="H128" i="47"/>
  <c r="G128" i="47"/>
  <c r="D128" i="47"/>
  <c r="E128" i="47"/>
  <c r="A130" i="47" l="1"/>
  <c r="J135" i="55" s="1"/>
  <c r="H129" i="47"/>
  <c r="G129" i="47"/>
  <c r="E129" i="47"/>
  <c r="D129" i="47"/>
  <c r="C129" i="47"/>
  <c r="F129" i="47"/>
  <c r="H130" i="47" l="1"/>
  <c r="G130" i="47"/>
  <c r="C130" i="47"/>
  <c r="D130" i="47"/>
  <c r="E130" i="47"/>
  <c r="A131" i="47"/>
  <c r="J136" i="55" s="1"/>
  <c r="F130" i="47"/>
  <c r="E131" i="47" l="1"/>
  <c r="A132" i="47"/>
  <c r="J137" i="55" s="1"/>
  <c r="C131" i="47"/>
  <c r="H131" i="47"/>
  <c r="F131" i="47"/>
  <c r="G131" i="47"/>
  <c r="D131" i="47"/>
  <c r="C132" i="47" l="1"/>
  <c r="A133" i="47"/>
  <c r="J138" i="55" s="1"/>
  <c r="H132" i="47"/>
  <c r="G132" i="47"/>
  <c r="D132" i="47"/>
  <c r="F132" i="47"/>
  <c r="E132" i="47"/>
  <c r="A134" i="47" l="1"/>
  <c r="J139" i="55" s="1"/>
  <c r="H133" i="47"/>
  <c r="D133" i="47"/>
  <c r="C133" i="47"/>
  <c r="G133" i="47"/>
  <c r="E133" i="47"/>
  <c r="F133" i="47"/>
  <c r="G134" i="47" l="1"/>
  <c r="E134" i="47"/>
  <c r="C134" i="47"/>
  <c r="A135" i="47"/>
  <c r="J140" i="55" s="1"/>
  <c r="D134" i="47"/>
  <c r="F134" i="47"/>
  <c r="H134" i="47"/>
  <c r="H135" i="47" l="1"/>
  <c r="G135" i="47"/>
  <c r="E135" i="47"/>
  <c r="D135" i="47"/>
  <c r="F135" i="47"/>
  <c r="A136" i="47"/>
  <c r="J141" i="55" s="1"/>
  <c r="C135" i="47"/>
  <c r="C136" i="47" l="1"/>
  <c r="D136" i="47"/>
  <c r="A137" i="47"/>
  <c r="J142" i="55" s="1"/>
  <c r="G136" i="47"/>
  <c r="F136" i="47"/>
  <c r="H136" i="47"/>
  <c r="E136" i="47"/>
  <c r="A138" i="47" l="1"/>
  <c r="J143" i="55" s="1"/>
  <c r="G137" i="47"/>
  <c r="E137" i="47"/>
  <c r="H137" i="47"/>
  <c r="D137" i="47"/>
  <c r="C137" i="47"/>
  <c r="F137" i="47"/>
  <c r="H138" i="47" l="1"/>
  <c r="F138" i="47"/>
  <c r="G138" i="47"/>
  <c r="D138" i="47"/>
  <c r="E138" i="47"/>
  <c r="C138" i="47"/>
  <c r="A139" i="47"/>
  <c r="J144" i="55" s="1"/>
  <c r="E139" i="47" l="1"/>
  <c r="A140" i="47"/>
  <c r="J145" i="55" s="1"/>
  <c r="H139" i="47"/>
  <c r="F139" i="47"/>
  <c r="G139" i="47"/>
  <c r="C139" i="47"/>
  <c r="D139" i="47"/>
  <c r="C140" i="47" l="1"/>
  <c r="D140" i="47"/>
  <c r="A141" i="47"/>
  <c r="J146" i="55" s="1"/>
  <c r="F140" i="47"/>
  <c r="H140" i="47"/>
  <c r="G140" i="47"/>
  <c r="E140" i="47"/>
  <c r="A142" i="47" l="1"/>
  <c r="J147" i="55" s="1"/>
  <c r="H141" i="47"/>
  <c r="G141" i="47"/>
  <c r="E141" i="47"/>
  <c r="F141" i="47"/>
  <c r="D141" i="47"/>
  <c r="C141" i="47"/>
  <c r="G142" i="47" l="1"/>
  <c r="F142" i="47"/>
  <c r="E142" i="47"/>
  <c r="C142" i="47"/>
  <c r="A143" i="47"/>
  <c r="J148" i="55" s="1"/>
  <c r="H142" i="47"/>
  <c r="D142" i="47"/>
  <c r="H143" i="47" l="1"/>
  <c r="F143" i="47"/>
  <c r="G143" i="47"/>
  <c r="E143" i="47"/>
  <c r="C143" i="47"/>
  <c r="D143" i="47"/>
  <c r="A144" i="47"/>
  <c r="J149" i="55" s="1"/>
  <c r="C144" i="47" l="1"/>
  <c r="A145" i="47"/>
  <c r="J150" i="55" s="1"/>
  <c r="H144" i="47"/>
  <c r="G144" i="47"/>
  <c r="D144" i="47"/>
  <c r="F144" i="47"/>
  <c r="E144" i="47"/>
  <c r="A146" i="47" l="1"/>
  <c r="J151" i="55" s="1"/>
  <c r="H145" i="47"/>
  <c r="D145" i="47"/>
  <c r="G145" i="47"/>
  <c r="E145" i="47"/>
  <c r="F145" i="47"/>
  <c r="C145" i="47"/>
  <c r="H146" i="47" l="1"/>
  <c r="G146" i="47"/>
  <c r="E146" i="47"/>
  <c r="C146" i="47"/>
  <c r="D146" i="47"/>
  <c r="F146" i="47"/>
  <c r="A147" i="47"/>
  <c r="J152" i="55" s="1"/>
  <c r="E147" i="47" l="1"/>
  <c r="A148" i="47"/>
  <c r="J153" i="55" s="1"/>
  <c r="H147" i="47"/>
  <c r="C147" i="47"/>
  <c r="F147" i="47"/>
  <c r="D147" i="47"/>
  <c r="G147" i="47"/>
  <c r="C148" i="47" l="1"/>
  <c r="D148" i="47"/>
  <c r="A149" i="47"/>
  <c r="J154" i="55" s="1"/>
  <c r="H148" i="47"/>
  <c r="G148" i="47"/>
  <c r="F148" i="47"/>
  <c r="E148" i="47"/>
  <c r="A150" i="47" l="1"/>
  <c r="J155" i="55" s="1"/>
  <c r="H149" i="47"/>
  <c r="G149" i="47"/>
  <c r="E149" i="47"/>
  <c r="F149" i="47"/>
  <c r="C149" i="47"/>
  <c r="D149" i="47"/>
  <c r="G150" i="47" l="1"/>
  <c r="E150" i="47"/>
  <c r="C150" i="47"/>
  <c r="A151" i="47"/>
  <c r="J156" i="55" s="1"/>
  <c r="D150" i="47"/>
  <c r="F150" i="47"/>
  <c r="H150" i="47"/>
  <c r="H151" i="47" l="1"/>
  <c r="D151" i="47"/>
  <c r="G151" i="47"/>
  <c r="E151" i="47"/>
  <c r="C151" i="47"/>
  <c r="F151" i="47"/>
  <c r="A152" i="47"/>
  <c r="J157" i="55" s="1"/>
  <c r="C152" i="47" l="1"/>
  <c r="G152" i="47"/>
  <c r="F152" i="47"/>
  <c r="E152" i="47"/>
  <c r="A153" i="47"/>
  <c r="J158" i="55" s="1"/>
  <c r="H152" i="47"/>
  <c r="D152" i="47"/>
  <c r="A154" i="47" l="1"/>
  <c r="J159" i="55" s="1"/>
  <c r="H153" i="47"/>
  <c r="D153" i="47"/>
  <c r="C153" i="47"/>
  <c r="G153" i="47"/>
  <c r="E153" i="47"/>
  <c r="F153" i="47"/>
  <c r="H154" i="47" l="1"/>
  <c r="E154" i="47"/>
  <c r="D154" i="47"/>
  <c r="A155" i="47"/>
  <c r="J160" i="55" s="1"/>
  <c r="G154" i="47"/>
  <c r="C154" i="47"/>
  <c r="F154" i="47"/>
  <c r="E155" i="47" l="1"/>
  <c r="A156" i="47"/>
  <c r="J161" i="55" s="1"/>
  <c r="H155" i="47"/>
  <c r="F155" i="47"/>
  <c r="G155" i="47"/>
  <c r="C155" i="47"/>
  <c r="D155" i="47"/>
  <c r="C156" i="47" l="1"/>
  <c r="A157" i="47"/>
  <c r="J162" i="55" s="1"/>
  <c r="F156" i="47"/>
  <c r="H156" i="47"/>
  <c r="G156" i="47"/>
  <c r="D156" i="47"/>
  <c r="E156" i="47"/>
  <c r="A158" i="47" l="1"/>
  <c r="J163" i="55" s="1"/>
  <c r="H157" i="47"/>
  <c r="C157" i="47"/>
  <c r="E157" i="47"/>
  <c r="G157" i="47"/>
  <c r="D157" i="47"/>
  <c r="F157" i="47"/>
  <c r="G158" i="47" l="1"/>
  <c r="E158" i="47"/>
  <c r="C158" i="47"/>
  <c r="A159" i="47"/>
  <c r="J164" i="55" s="1"/>
  <c r="D158" i="47"/>
  <c r="H158" i="47"/>
  <c r="F158" i="47"/>
  <c r="H159" i="47" l="1"/>
  <c r="G159" i="47"/>
  <c r="E159" i="47"/>
  <c r="C159" i="47"/>
  <c r="F159" i="47"/>
  <c r="A160" i="47"/>
  <c r="J165" i="55" s="1"/>
  <c r="D159" i="47"/>
  <c r="C160" i="47" l="1"/>
  <c r="D160" i="47"/>
  <c r="A161" i="47"/>
  <c r="J166" i="55" s="1"/>
  <c r="H160" i="47"/>
  <c r="G160" i="47"/>
  <c r="F160" i="47"/>
  <c r="E160" i="47"/>
  <c r="A162" i="47" l="1"/>
  <c r="J167" i="55" s="1"/>
  <c r="H161" i="47"/>
  <c r="G161" i="47"/>
  <c r="E161" i="47"/>
  <c r="D161" i="47"/>
  <c r="C161" i="47"/>
  <c r="F161" i="47"/>
  <c r="H162" i="47" l="1"/>
  <c r="D162" i="47"/>
  <c r="G162" i="47"/>
  <c r="E162" i="47"/>
  <c r="A163" i="47"/>
  <c r="J168" i="55" s="1"/>
  <c r="C162" i="47"/>
  <c r="F162" i="47"/>
  <c r="E163" i="47" l="1"/>
  <c r="A164" i="47"/>
  <c r="J169" i="55" s="1"/>
  <c r="H163" i="47"/>
  <c r="F163" i="47"/>
  <c r="C163" i="47"/>
  <c r="G163" i="47"/>
  <c r="D163" i="47"/>
  <c r="C164" i="47" l="1"/>
  <c r="D164" i="47"/>
  <c r="F164" i="47"/>
  <c r="E164" i="47"/>
  <c r="A165" i="47"/>
  <c r="J170" i="55" s="1"/>
  <c r="H164" i="47"/>
  <c r="G164" i="47"/>
  <c r="A166" i="47" l="1"/>
  <c r="J171" i="55" s="1"/>
  <c r="H165" i="47"/>
  <c r="G165" i="47"/>
  <c r="E165" i="47"/>
  <c r="F165" i="47"/>
  <c r="C165" i="47"/>
  <c r="D165" i="47"/>
  <c r="G166" i="47" l="1"/>
  <c r="D166" i="47"/>
  <c r="E166" i="47"/>
  <c r="C166" i="47"/>
  <c r="F166" i="47"/>
  <c r="H166" i="47"/>
  <c r="A167" i="47"/>
  <c r="J172" i="55" s="1"/>
  <c r="H167" i="47" l="1"/>
  <c r="F167" i="47"/>
  <c r="G167" i="47"/>
  <c r="D167" i="47"/>
  <c r="A168" i="47"/>
  <c r="J173" i="55" s="1"/>
  <c r="E167" i="47"/>
  <c r="C167" i="47"/>
  <c r="C168" i="47" l="1"/>
  <c r="H168" i="47"/>
  <c r="G168" i="47"/>
  <c r="F168" i="47"/>
  <c r="A169" i="47"/>
  <c r="J174" i="55" s="1"/>
  <c r="E168" i="47"/>
  <c r="D168" i="47"/>
  <c r="A170" i="47" l="1"/>
  <c r="J175" i="55" s="1"/>
  <c r="H169" i="47"/>
  <c r="G169" i="47"/>
  <c r="E169" i="47"/>
  <c r="F169" i="47"/>
  <c r="D169" i="47"/>
  <c r="C169" i="47"/>
  <c r="H170" i="47" l="1"/>
  <c r="G170" i="47"/>
  <c r="E170" i="47"/>
  <c r="F170" i="47"/>
  <c r="A171" i="47"/>
  <c r="J176" i="55" s="1"/>
  <c r="C170" i="47"/>
  <c r="D170" i="47"/>
  <c r="E171" i="47" l="1"/>
  <c r="A172" i="47"/>
  <c r="J177" i="55" s="1"/>
  <c r="F171" i="47"/>
  <c r="C171" i="47"/>
  <c r="G171" i="47"/>
  <c r="D171" i="47"/>
  <c r="H171" i="47"/>
  <c r="C172" i="47" l="1"/>
  <c r="D172" i="47"/>
  <c r="A173" i="47"/>
  <c r="J178" i="55" s="1"/>
  <c r="H172" i="47"/>
  <c r="G172" i="47"/>
  <c r="F172" i="47"/>
  <c r="E172" i="47"/>
  <c r="A174" i="47" l="1"/>
  <c r="J179" i="55" s="1"/>
  <c r="H173" i="47"/>
  <c r="G173" i="47"/>
  <c r="E173" i="47"/>
  <c r="C173" i="47"/>
  <c r="D173" i="47"/>
  <c r="F173" i="47"/>
  <c r="G174" i="47" l="1"/>
  <c r="E174" i="47"/>
  <c r="C174" i="47"/>
  <c r="A175" i="47"/>
  <c r="J180" i="55" s="1"/>
  <c r="D174" i="47"/>
  <c r="H174" i="47"/>
  <c r="F174" i="47"/>
  <c r="H175" i="47" l="1"/>
  <c r="G175" i="47"/>
  <c r="E175" i="47"/>
  <c r="C175" i="47"/>
  <c r="F175" i="47"/>
  <c r="D175" i="47"/>
  <c r="A176" i="47"/>
  <c r="J181" i="55" s="1"/>
  <c r="E176" i="47" l="1"/>
  <c r="C176" i="47"/>
  <c r="A177" i="47"/>
  <c r="J182" i="55" s="1"/>
  <c r="F176" i="47"/>
  <c r="H176" i="47"/>
  <c r="G176" i="47"/>
  <c r="D176" i="47"/>
  <c r="C177" i="47" l="1"/>
  <c r="A178" i="47"/>
  <c r="J183" i="55" s="1"/>
  <c r="F177" i="47"/>
  <c r="G177" i="47"/>
  <c r="H177" i="47"/>
  <c r="D177" i="47"/>
  <c r="E177" i="47"/>
  <c r="H178" i="47" l="1"/>
  <c r="C178" i="47"/>
  <c r="E178" i="47"/>
  <c r="G178" i="47"/>
  <c r="D178" i="47"/>
  <c r="F178" i="47"/>
  <c r="A179" i="47"/>
  <c r="J184" i="55" s="1"/>
  <c r="H179" i="47" l="1"/>
  <c r="E179" i="47"/>
  <c r="C179" i="47"/>
  <c r="G179" i="47"/>
  <c r="F179" i="47"/>
  <c r="D179" i="47"/>
  <c r="A180" i="47"/>
  <c r="J185" i="55" s="1"/>
  <c r="H180" i="47" l="1"/>
  <c r="E180" i="47"/>
  <c r="G180" i="47"/>
  <c r="C180" i="47"/>
  <c r="F180" i="47"/>
  <c r="D180" i="47"/>
  <c r="A181" i="47"/>
  <c r="J186" i="55" s="1"/>
  <c r="H181" i="47" l="1"/>
  <c r="C181" i="47"/>
  <c r="A182" i="47"/>
  <c r="J187" i="55" s="1"/>
  <c r="G181" i="47"/>
  <c r="E181" i="47"/>
  <c r="D181" i="47"/>
  <c r="F181" i="47"/>
  <c r="G182" i="47" l="1"/>
  <c r="H182" i="47"/>
  <c r="A183" i="47"/>
  <c r="J188" i="55" s="1"/>
  <c r="E182" i="47"/>
  <c r="C182" i="47"/>
  <c r="F182" i="47"/>
  <c r="D182" i="47"/>
  <c r="E183" i="47" l="1"/>
  <c r="A184" i="47"/>
  <c r="J189" i="55" s="1"/>
  <c r="H7" i="55" s="1"/>
  <c r="C183" i="47"/>
  <c r="G183" i="47"/>
  <c r="F183" i="47"/>
  <c r="D183" i="47"/>
  <c r="H183" i="47"/>
  <c r="C184" i="47" l="1"/>
  <c r="H184" i="47"/>
  <c r="F184" i="47"/>
  <c r="A185" i="47"/>
  <c r="J190" i="55" s="1"/>
  <c r="G184" i="47"/>
  <c r="D184" i="47"/>
  <c r="E184" i="47"/>
  <c r="G185" i="47" l="1"/>
  <c r="E185" i="47"/>
  <c r="C185" i="47"/>
  <c r="H185" i="47"/>
  <c r="F185" i="47"/>
  <c r="D185" i="47"/>
  <c r="A186" i="47"/>
  <c r="J191" i="55" s="1"/>
  <c r="C186" i="47" l="1"/>
  <c r="E186" i="47"/>
  <c r="A187" i="47"/>
  <c r="J192" i="55" s="1"/>
  <c r="F186" i="47"/>
  <c r="G186" i="47"/>
  <c r="H186" i="47"/>
  <c r="D186" i="47"/>
  <c r="A188" i="47" l="1"/>
  <c r="J193" i="55" s="1"/>
  <c r="G187" i="47"/>
  <c r="D187" i="47"/>
  <c r="H187" i="47"/>
  <c r="F187" i="47"/>
  <c r="E187" i="47"/>
  <c r="C187" i="47"/>
  <c r="E188" i="47" l="1"/>
  <c r="C188" i="47"/>
  <c r="A189" i="47"/>
  <c r="J194" i="55" s="1"/>
  <c r="G188" i="47"/>
  <c r="F188" i="47"/>
  <c r="D188" i="47"/>
  <c r="H188" i="47"/>
  <c r="H189" i="47" l="1"/>
  <c r="D189" i="47"/>
  <c r="E189" i="47"/>
  <c r="A190" i="47"/>
  <c r="J195" i="55" s="1"/>
  <c r="G189" i="47"/>
  <c r="F189" i="47"/>
  <c r="C189" i="47"/>
  <c r="G190" i="47" l="1"/>
  <c r="E190" i="47"/>
  <c r="C190" i="47"/>
  <c r="D190" i="47"/>
  <c r="H190" i="47"/>
  <c r="F190" i="47"/>
  <c r="A191" i="47"/>
  <c r="J196" i="55" s="1"/>
  <c r="A192" i="47" l="1"/>
  <c r="J197" i="55" s="1"/>
  <c r="G191" i="47"/>
  <c r="H191" i="47"/>
  <c r="D191" i="47"/>
  <c r="F191" i="47"/>
  <c r="C191" i="47"/>
  <c r="E191" i="47"/>
  <c r="A193" i="47" l="1"/>
  <c r="J198" i="55" s="1"/>
  <c r="H192" i="47"/>
  <c r="G192" i="47"/>
  <c r="D192" i="47"/>
  <c r="E192" i="47"/>
  <c r="F192" i="47"/>
  <c r="C192" i="47"/>
  <c r="H193" i="47" l="1"/>
  <c r="F193" i="47"/>
  <c r="E193" i="47"/>
  <c r="C193" i="47"/>
  <c r="G193" i="47"/>
  <c r="D193" i="47"/>
  <c r="A194" i="47"/>
  <c r="J199" i="55" s="1"/>
  <c r="G194" i="47" l="1"/>
  <c r="A195" i="47"/>
  <c r="J200" i="55" s="1"/>
  <c r="E194" i="47"/>
  <c r="C194" i="47"/>
  <c r="D194" i="47"/>
  <c r="F194" i="47"/>
  <c r="H194" i="47"/>
  <c r="G195" i="47" l="1"/>
  <c r="F195" i="47"/>
  <c r="E195" i="47"/>
  <c r="A196" i="47"/>
  <c r="J201" i="55" s="1"/>
  <c r="H195" i="47"/>
  <c r="D195" i="47"/>
  <c r="C195" i="47"/>
  <c r="C196" i="47" l="1"/>
  <c r="G196" i="47"/>
  <c r="A197" i="47"/>
  <c r="J202" i="55" s="1"/>
  <c r="H196" i="47"/>
  <c r="F196" i="47"/>
  <c r="D196" i="47"/>
  <c r="E196" i="47"/>
  <c r="H197" i="47" l="1"/>
  <c r="E197" i="47"/>
  <c r="D197" i="47"/>
  <c r="G197" i="47"/>
  <c r="F197" i="47"/>
  <c r="A198" i="47"/>
  <c r="J203" i="55" s="1"/>
  <c r="C197" i="47"/>
  <c r="G198" i="47" l="1"/>
  <c r="F198" i="47"/>
  <c r="E198" i="47"/>
  <c r="A199" i="47"/>
  <c r="J204" i="55" s="1"/>
  <c r="H198" i="47"/>
  <c r="C198" i="47"/>
  <c r="D198" i="47"/>
  <c r="E199" i="47" l="1"/>
  <c r="C199" i="47"/>
  <c r="D199" i="47"/>
  <c r="A200" i="47"/>
  <c r="J205" i="55" s="1"/>
  <c r="H199" i="47"/>
  <c r="G199" i="47"/>
  <c r="F199" i="47"/>
  <c r="C200" i="47" l="1"/>
  <c r="A201" i="47"/>
  <c r="J206" i="55" s="1"/>
  <c r="H200" i="47"/>
  <c r="D200" i="47"/>
  <c r="G200" i="47"/>
  <c r="F200" i="47"/>
  <c r="E200" i="47"/>
  <c r="H201" i="47" l="1"/>
  <c r="E201" i="47"/>
  <c r="D201" i="47"/>
  <c r="G201" i="47"/>
  <c r="A202" i="47"/>
  <c r="J207" i="55" s="1"/>
  <c r="C201" i="47"/>
  <c r="F201" i="47"/>
  <c r="H202" i="47" l="1"/>
  <c r="E202" i="47"/>
  <c r="C202" i="47"/>
  <c r="A203" i="47"/>
  <c r="J208" i="55" s="1"/>
  <c r="D202" i="47"/>
  <c r="F202" i="47"/>
  <c r="G202" i="47"/>
  <c r="H203" i="47" l="1"/>
  <c r="E203" i="47"/>
  <c r="D203" i="47"/>
  <c r="C203" i="47"/>
  <c r="A204" i="47"/>
  <c r="J209" i="55" s="1"/>
  <c r="F203" i="47"/>
  <c r="G203" i="47"/>
  <c r="E204" i="47" l="1"/>
  <c r="A205" i="47"/>
  <c r="J210" i="55" s="1"/>
  <c r="C204" i="47"/>
  <c r="H204" i="47"/>
  <c r="D204" i="47"/>
  <c r="F204" i="47"/>
  <c r="G204" i="47"/>
  <c r="G205" i="47" l="1"/>
  <c r="F205" i="47"/>
  <c r="A206" i="47"/>
  <c r="J211" i="55" s="1"/>
  <c r="C205" i="47"/>
  <c r="H205" i="47"/>
  <c r="D205" i="47"/>
  <c r="E205" i="47"/>
  <c r="C206" i="47" l="1"/>
  <c r="A207" i="47"/>
  <c r="J212" i="55" s="1"/>
  <c r="H206" i="47"/>
  <c r="D206" i="47"/>
  <c r="E206" i="47"/>
  <c r="G206" i="47"/>
  <c r="F206" i="47"/>
  <c r="A208" i="47" l="1"/>
  <c r="J213" i="55" s="1"/>
  <c r="H207" i="47"/>
  <c r="C207" i="47"/>
  <c r="G207" i="47"/>
  <c r="E207" i="47"/>
  <c r="F207" i="47"/>
  <c r="D207" i="47"/>
  <c r="A209" i="47" l="1"/>
  <c r="J214" i="55" s="1"/>
  <c r="G208" i="47"/>
  <c r="F208" i="47"/>
  <c r="E208" i="47"/>
  <c r="C208" i="47"/>
  <c r="D208" i="47"/>
  <c r="H208" i="47"/>
  <c r="A210" i="47" l="1"/>
  <c r="J215" i="55" s="1"/>
  <c r="D209" i="47"/>
  <c r="H209" i="47"/>
  <c r="G209" i="47"/>
  <c r="C209" i="47"/>
  <c r="E209" i="47"/>
  <c r="F209" i="47"/>
  <c r="C210" i="47" l="1"/>
  <c r="D210" i="47"/>
  <c r="G210" i="47"/>
  <c r="A211" i="47"/>
  <c r="J216" i="55" s="1"/>
  <c r="H210" i="47"/>
  <c r="F210" i="47"/>
  <c r="E210" i="47"/>
  <c r="C211" i="47" l="1"/>
  <c r="A212" i="47"/>
  <c r="J217" i="55" s="1"/>
  <c r="H211" i="47"/>
  <c r="D211" i="47"/>
  <c r="F211" i="47"/>
  <c r="E211" i="47"/>
  <c r="G211" i="47"/>
  <c r="E212" i="47" l="1"/>
  <c r="G212" i="47"/>
  <c r="H212" i="47"/>
  <c r="F212" i="47"/>
  <c r="D212" i="47"/>
  <c r="C212" i="47"/>
  <c r="A213" i="47"/>
  <c r="J218" i="55" s="1"/>
  <c r="E213" i="47" l="1"/>
  <c r="H213" i="47"/>
  <c r="G213" i="47"/>
  <c r="A214" i="47"/>
  <c r="J219" i="55" s="1"/>
  <c r="F213" i="47"/>
  <c r="C213" i="47"/>
  <c r="D213" i="47"/>
  <c r="H214" i="47" l="1"/>
  <c r="G214" i="47"/>
  <c r="E214" i="47"/>
  <c r="A215" i="47"/>
  <c r="J220" i="55" s="1"/>
  <c r="C214" i="47"/>
  <c r="F214" i="47"/>
  <c r="D214" i="47"/>
  <c r="G215" i="47" l="1"/>
  <c r="C215" i="47"/>
  <c r="A216" i="47"/>
  <c r="J221" i="55" s="1"/>
  <c r="F215" i="47"/>
  <c r="E215" i="47"/>
  <c r="D215" i="47"/>
  <c r="H215" i="47"/>
  <c r="A217" i="47" l="1"/>
  <c r="J222" i="55" s="1"/>
  <c r="H216" i="47"/>
  <c r="G216" i="47"/>
  <c r="F216" i="47"/>
  <c r="E216" i="47"/>
  <c r="D216" i="47"/>
  <c r="C216" i="47"/>
  <c r="A218" i="47" l="1"/>
  <c r="J223" i="55" s="1"/>
  <c r="H217" i="47"/>
  <c r="D217" i="47"/>
  <c r="G217" i="47"/>
  <c r="C217" i="47"/>
  <c r="E217" i="47"/>
  <c r="F217" i="47"/>
  <c r="H218" i="47" l="1"/>
  <c r="D218" i="47"/>
  <c r="C218" i="47"/>
  <c r="E218" i="47"/>
  <c r="G218" i="47"/>
  <c r="F218" i="47"/>
  <c r="A219" i="47"/>
  <c r="J224" i="55" s="1"/>
  <c r="H219" i="47" l="1"/>
  <c r="E219" i="47"/>
  <c r="D219" i="47"/>
  <c r="G219" i="47"/>
  <c r="C219" i="47"/>
  <c r="A220" i="47"/>
  <c r="J225" i="55" s="1"/>
  <c r="F219" i="47"/>
  <c r="C220" i="47" l="1"/>
  <c r="A221" i="47"/>
  <c r="J226" i="55" s="1"/>
  <c r="D220" i="47"/>
  <c r="E220" i="47"/>
  <c r="H220" i="47"/>
  <c r="F220" i="47"/>
  <c r="G220" i="47"/>
  <c r="A222" i="47" l="1"/>
  <c r="J227" i="55" s="1"/>
  <c r="G221" i="47"/>
  <c r="H221" i="47"/>
  <c r="C221" i="47"/>
  <c r="D221" i="47"/>
  <c r="F221" i="47"/>
  <c r="E221" i="47"/>
  <c r="G222" i="47" l="1"/>
  <c r="H222" i="47"/>
  <c r="F222" i="47"/>
  <c r="E222" i="47"/>
  <c r="A223" i="47"/>
  <c r="J228" i="55" s="1"/>
  <c r="C222" i="47"/>
  <c r="D222" i="47"/>
  <c r="G223" i="47" l="1"/>
  <c r="D223" i="47"/>
  <c r="E223" i="47"/>
  <c r="A224" i="47"/>
  <c r="J229" i="55" s="1"/>
  <c r="C223" i="47"/>
  <c r="F223" i="47"/>
  <c r="H223" i="47"/>
  <c r="E224" i="47" l="1"/>
  <c r="A225" i="47"/>
  <c r="J230" i="55" s="1"/>
  <c r="F224" i="47"/>
  <c r="H224" i="47"/>
  <c r="D224" i="47"/>
  <c r="C224" i="47"/>
  <c r="G224" i="47"/>
  <c r="H225" i="47" l="1"/>
  <c r="C225" i="47"/>
  <c r="G225" i="47"/>
  <c r="A226" i="47"/>
  <c r="J231" i="55" s="1"/>
  <c r="F225" i="47"/>
  <c r="E225" i="47"/>
  <c r="D225" i="47"/>
  <c r="G226" i="47" l="1"/>
  <c r="A227" i="47"/>
  <c r="J232" i="55" s="1"/>
  <c r="E226" i="47"/>
  <c r="C226" i="47"/>
  <c r="D226" i="47"/>
  <c r="F226" i="47"/>
  <c r="H226" i="47"/>
  <c r="H227" i="47" l="1"/>
  <c r="C227" i="47"/>
  <c r="A228" i="47"/>
  <c r="J233" i="55" s="1"/>
  <c r="E227" i="47"/>
  <c r="F227" i="47"/>
  <c r="D227" i="47"/>
  <c r="G227" i="47"/>
  <c r="A229" i="47" l="1"/>
  <c r="J234" i="55" s="1"/>
  <c r="H228" i="47"/>
  <c r="E228" i="47"/>
  <c r="C228" i="47"/>
  <c r="G228" i="47"/>
  <c r="D228" i="47"/>
  <c r="F228" i="47"/>
  <c r="A230" i="47" l="1"/>
  <c r="J235" i="55" s="1"/>
  <c r="D229" i="47"/>
  <c r="H229" i="47"/>
  <c r="F229" i="47"/>
  <c r="E229" i="47"/>
  <c r="G229" i="47"/>
  <c r="C229" i="47"/>
  <c r="G230" i="47" l="1"/>
  <c r="E230" i="47"/>
  <c r="H230" i="47"/>
  <c r="D230" i="47"/>
  <c r="C230" i="47"/>
  <c r="F230" i="47"/>
  <c r="A231" i="47"/>
  <c r="J236" i="55" s="1"/>
  <c r="E231" i="47" l="1"/>
  <c r="A232" i="47"/>
  <c r="J237" i="55" s="1"/>
  <c r="H231" i="47"/>
  <c r="C231" i="47"/>
  <c r="D231" i="47"/>
  <c r="G231" i="47"/>
  <c r="F231" i="47"/>
  <c r="E232" i="47" l="1"/>
  <c r="C232" i="47"/>
  <c r="A233" i="47"/>
  <c r="J238" i="55" s="1"/>
  <c r="H232" i="47"/>
  <c r="D232" i="47"/>
  <c r="G232" i="47"/>
  <c r="F232" i="47"/>
  <c r="H233" i="47" l="1"/>
  <c r="C233" i="47"/>
  <c r="A234" i="47"/>
  <c r="J239" i="55" s="1"/>
  <c r="G233" i="47"/>
  <c r="D233" i="47"/>
  <c r="E233" i="47"/>
  <c r="F233" i="47"/>
  <c r="C234" i="47" l="1"/>
  <c r="G234" i="47"/>
  <c r="E234" i="47"/>
  <c r="H234" i="47"/>
  <c r="A235" i="47"/>
  <c r="J240" i="55" s="1"/>
  <c r="D234" i="47"/>
  <c r="F234" i="47"/>
  <c r="A236" i="47" l="1"/>
  <c r="J241" i="55" s="1"/>
  <c r="D235" i="47"/>
  <c r="G235" i="47"/>
  <c r="H235" i="47"/>
  <c r="E235" i="47"/>
  <c r="C235" i="47"/>
  <c r="F235" i="47"/>
  <c r="A237" i="47" l="1"/>
  <c r="J242" i="55" s="1"/>
  <c r="C236" i="47"/>
  <c r="F236" i="47"/>
  <c r="D236" i="47"/>
  <c r="E236" i="47"/>
  <c r="H236" i="47"/>
  <c r="G236" i="47"/>
  <c r="A238" i="47" l="1"/>
  <c r="J243" i="55" s="1"/>
  <c r="H237" i="47"/>
  <c r="F237" i="47"/>
  <c r="E237" i="47"/>
  <c r="D237" i="47"/>
  <c r="C237" i="47"/>
  <c r="G237" i="47"/>
  <c r="E238" i="47" l="1"/>
  <c r="D238" i="47"/>
  <c r="C238" i="47"/>
  <c r="H238" i="47"/>
  <c r="A239" i="47"/>
  <c r="J244" i="55" s="1"/>
  <c r="G238" i="47"/>
  <c r="F238" i="47"/>
  <c r="E239" i="47" l="1"/>
  <c r="D239" i="47"/>
  <c r="G239" i="47"/>
  <c r="A240" i="47"/>
  <c r="J245" i="55" s="1"/>
  <c r="F239" i="47"/>
  <c r="C239" i="47"/>
  <c r="H239" i="47"/>
  <c r="G240" i="47" l="1"/>
  <c r="E240" i="47"/>
  <c r="F240" i="47"/>
  <c r="C240" i="47"/>
  <c r="H240" i="47"/>
  <c r="A241" i="47"/>
  <c r="J246" i="55" s="1"/>
  <c r="D240" i="47"/>
  <c r="H241" i="47" l="1"/>
  <c r="G241" i="47"/>
  <c r="F241" i="47"/>
  <c r="D241" i="47"/>
  <c r="C241" i="47"/>
  <c r="E241" i="47"/>
  <c r="A242" i="47"/>
  <c r="J247" i="55" s="1"/>
  <c r="G242" i="47" l="1"/>
  <c r="C242" i="47"/>
  <c r="E242" i="47"/>
  <c r="A243" i="47"/>
  <c r="J248" i="55" s="1"/>
  <c r="F242" i="47"/>
  <c r="D242" i="47"/>
  <c r="H242" i="47"/>
  <c r="A244" i="47" l="1"/>
  <c r="J249" i="55" s="1"/>
  <c r="E243" i="47"/>
  <c r="C243" i="47"/>
  <c r="D243" i="47"/>
  <c r="H243" i="47"/>
  <c r="F243" i="47"/>
  <c r="G243" i="47"/>
  <c r="C244" i="47" l="1"/>
  <c r="A245" i="47"/>
  <c r="J250" i="55" s="1"/>
  <c r="E244" i="47"/>
  <c r="H244" i="47"/>
  <c r="F244" i="47"/>
  <c r="D244" i="47"/>
  <c r="G244" i="47"/>
  <c r="A246" i="47" l="1"/>
  <c r="J251" i="55" s="1"/>
  <c r="D245" i="47"/>
  <c r="H245" i="47"/>
  <c r="G245" i="47"/>
  <c r="C245" i="47"/>
  <c r="E245" i="47"/>
  <c r="F245" i="47"/>
  <c r="H246" i="47" l="1"/>
  <c r="E246" i="47"/>
  <c r="C246" i="47"/>
  <c r="G246" i="47"/>
  <c r="F246" i="47"/>
  <c r="A247" i="47"/>
  <c r="J252" i="55" s="1"/>
  <c r="D246" i="47"/>
  <c r="E247" i="47" l="1"/>
  <c r="A248" i="47"/>
  <c r="J253" i="55" s="1"/>
  <c r="H247" i="47"/>
  <c r="C247" i="47"/>
  <c r="G247" i="47"/>
  <c r="F247" i="47"/>
  <c r="D247" i="47"/>
  <c r="C248" i="47" l="1"/>
  <c r="G248" i="47"/>
  <c r="E248" i="47"/>
  <c r="A249" i="47"/>
  <c r="J254" i="55" s="1"/>
  <c r="D248" i="47"/>
  <c r="H248" i="47"/>
  <c r="F248" i="47"/>
  <c r="C249" i="47" l="1"/>
  <c r="H249" i="47"/>
  <c r="A250" i="47"/>
  <c r="J255" i="55" s="1"/>
  <c r="G249" i="47"/>
  <c r="F249" i="47"/>
  <c r="D249" i="47"/>
  <c r="E249" i="47"/>
  <c r="C250" i="47" l="1"/>
  <c r="D250" i="47"/>
  <c r="E250" i="47"/>
  <c r="G250" i="47"/>
  <c r="A251" i="47"/>
  <c r="J256" i="55" s="1"/>
  <c r="F250" i="47"/>
  <c r="H250" i="47"/>
  <c r="E251" i="47" l="1"/>
  <c r="A252" i="47"/>
  <c r="J257" i="55" s="1"/>
  <c r="H251" i="47"/>
  <c r="D251" i="47"/>
  <c r="G251" i="47"/>
  <c r="C251" i="47"/>
  <c r="F251" i="47"/>
  <c r="C252" i="47" l="1"/>
  <c r="A253" i="47"/>
  <c r="J258" i="55" s="1"/>
  <c r="E252" i="47"/>
  <c r="H252" i="47"/>
  <c r="G252" i="47"/>
  <c r="F252" i="47"/>
  <c r="D252" i="47"/>
  <c r="A254" i="47" l="1"/>
  <c r="J259" i="55" s="1"/>
  <c r="F253" i="47"/>
  <c r="H253" i="47"/>
  <c r="G253" i="47"/>
  <c r="C253" i="47"/>
  <c r="E253" i="47"/>
  <c r="D253" i="47"/>
  <c r="H254" i="47" l="1"/>
  <c r="G254" i="47"/>
  <c r="E254" i="47"/>
  <c r="C254" i="47"/>
  <c r="D254" i="47"/>
  <c r="F254" i="47"/>
  <c r="A255" i="47"/>
  <c r="J260" i="55" s="1"/>
  <c r="G255" i="47" l="1"/>
  <c r="E255" i="47"/>
  <c r="A256" i="47"/>
  <c r="J261" i="55" s="1"/>
  <c r="C255" i="47"/>
  <c r="F255" i="47"/>
  <c r="D255" i="47"/>
  <c r="H255" i="47"/>
  <c r="G256" i="47" l="1"/>
  <c r="H256" i="47"/>
  <c r="E256" i="47"/>
  <c r="C256" i="47"/>
  <c r="A257" i="47"/>
  <c r="J262" i="55" s="1"/>
  <c r="F256" i="47"/>
  <c r="D256" i="47"/>
  <c r="C257" i="47" l="1"/>
  <c r="H257" i="47"/>
  <c r="D257" i="47"/>
  <c r="A258" i="47"/>
  <c r="J263" i="55" s="1"/>
  <c r="G257" i="47"/>
  <c r="F257" i="47"/>
  <c r="E257" i="47"/>
  <c r="C258" i="47" l="1"/>
  <c r="A259" i="47"/>
  <c r="J264" i="55" s="1"/>
  <c r="H258" i="47"/>
  <c r="D258" i="47"/>
  <c r="E258" i="47"/>
  <c r="F258" i="47"/>
  <c r="G258" i="47"/>
  <c r="E259" i="47" l="1"/>
  <c r="C259" i="47"/>
  <c r="H259" i="47"/>
  <c r="A260" i="47"/>
  <c r="J265" i="55" s="1"/>
  <c r="D259" i="47"/>
  <c r="F259" i="47"/>
  <c r="G259" i="47"/>
  <c r="C260" i="47" l="1"/>
  <c r="A261" i="47"/>
  <c r="J266" i="55" s="1"/>
  <c r="E260" i="47"/>
  <c r="F260" i="47"/>
  <c r="D260" i="47"/>
  <c r="G260" i="47"/>
  <c r="H260" i="47"/>
  <c r="A262" i="47" l="1"/>
  <c r="J267" i="55" s="1"/>
  <c r="D261" i="47"/>
  <c r="E261" i="47"/>
  <c r="H261" i="47"/>
  <c r="G261" i="47"/>
  <c r="F261" i="47"/>
  <c r="C261" i="47"/>
  <c r="H262" i="47" l="1"/>
  <c r="C262" i="47"/>
  <c r="G262" i="47"/>
  <c r="E262" i="47"/>
  <c r="D262" i="47"/>
  <c r="A263" i="47"/>
  <c r="J268" i="55" s="1"/>
  <c r="F262" i="47"/>
  <c r="E263" i="47" l="1"/>
  <c r="F263" i="47"/>
  <c r="G263" i="47"/>
  <c r="H263" i="47"/>
  <c r="A264" i="47"/>
  <c r="J269" i="55" s="1"/>
  <c r="C263" i="47"/>
  <c r="D263" i="47"/>
  <c r="C264" i="47" l="1"/>
  <c r="E264" i="47"/>
  <c r="H264" i="47"/>
  <c r="D264" i="47"/>
  <c r="G264" i="47"/>
  <c r="F264" i="47"/>
  <c r="A265" i="47"/>
  <c r="J270" i="55" s="1"/>
  <c r="E265" i="47" l="1"/>
  <c r="A266" i="47"/>
  <c r="J271" i="55" s="1"/>
  <c r="G265" i="47"/>
  <c r="D265" i="47"/>
  <c r="H265" i="47"/>
  <c r="C265" i="47"/>
  <c r="F265" i="47"/>
  <c r="G266" i="47" l="1"/>
  <c r="E266" i="47"/>
  <c r="C266" i="47"/>
  <c r="D266" i="47"/>
  <c r="F266" i="47"/>
  <c r="H266" i="47"/>
  <c r="A267" i="47"/>
  <c r="J272" i="55" s="1"/>
  <c r="H267" i="47" l="1"/>
  <c r="E267" i="47"/>
  <c r="D267" i="47"/>
  <c r="A268" i="47"/>
  <c r="J273" i="55" s="1"/>
  <c r="G267" i="47"/>
  <c r="F267" i="47"/>
  <c r="C267" i="47"/>
  <c r="H268" i="47" l="1"/>
  <c r="E268" i="47"/>
  <c r="A269" i="47"/>
  <c r="J274" i="55" s="1"/>
  <c r="C268" i="47"/>
  <c r="G268" i="47"/>
  <c r="F268" i="47"/>
  <c r="D268" i="47"/>
  <c r="H269" i="47" l="1"/>
  <c r="A270" i="47"/>
  <c r="J275" i="55" s="1"/>
  <c r="E269" i="47"/>
  <c r="F269" i="47"/>
  <c r="D269" i="47"/>
  <c r="G269" i="47"/>
  <c r="C269" i="47"/>
  <c r="C270" i="47" l="1"/>
  <c r="G270" i="47"/>
  <c r="H270" i="47"/>
  <c r="E270" i="47"/>
  <c r="F270" i="47"/>
  <c r="D270" i="47"/>
  <c r="A271" i="47"/>
  <c r="J276" i="55" s="1"/>
  <c r="A272" i="47" l="1"/>
  <c r="J277" i="55" s="1"/>
  <c r="D271" i="47"/>
  <c r="E271" i="47"/>
  <c r="C271" i="47"/>
  <c r="G271" i="47"/>
  <c r="H271" i="47"/>
  <c r="F271" i="47"/>
  <c r="A273" i="47" l="1"/>
  <c r="J278" i="55" s="1"/>
  <c r="G272" i="47"/>
  <c r="H272" i="47"/>
  <c r="D272" i="47"/>
  <c r="C272" i="47"/>
  <c r="E272" i="47"/>
  <c r="F272" i="47"/>
  <c r="C273" i="47" l="1"/>
  <c r="H273" i="47"/>
  <c r="G273" i="47"/>
  <c r="A274" i="47"/>
  <c r="J279" i="55" s="1"/>
  <c r="E273" i="47"/>
  <c r="F273" i="47"/>
  <c r="D273" i="47"/>
  <c r="A275" i="47" l="1"/>
  <c r="J280" i="55" s="1"/>
  <c r="F274" i="47"/>
  <c r="G274" i="47"/>
  <c r="E274" i="47"/>
  <c r="H274" i="47"/>
  <c r="C274" i="47"/>
  <c r="D274" i="47"/>
  <c r="E275" i="47" l="1"/>
  <c r="G275" i="47"/>
  <c r="C275" i="47"/>
  <c r="H275" i="47"/>
  <c r="F275" i="47"/>
  <c r="D275" i="47"/>
  <c r="A276" i="47"/>
  <c r="J281" i="55" s="1"/>
  <c r="C276" i="47" l="1"/>
  <c r="A277" i="47"/>
  <c r="J282" i="55" s="1"/>
  <c r="H276" i="47"/>
  <c r="F276" i="47"/>
  <c r="E276" i="47"/>
  <c r="G276" i="47"/>
  <c r="D276" i="47"/>
  <c r="E277" i="47" l="1"/>
  <c r="C277" i="47"/>
  <c r="H277" i="47"/>
  <c r="F277" i="47"/>
  <c r="A278" i="47"/>
  <c r="J283" i="55" s="1"/>
  <c r="G277" i="47"/>
  <c r="D277" i="47"/>
  <c r="G278" i="47" l="1"/>
  <c r="C278" i="47"/>
  <c r="E278" i="47"/>
  <c r="H278" i="47"/>
  <c r="D278" i="47"/>
  <c r="F278" i="47"/>
  <c r="A279" i="47"/>
  <c r="J284" i="55" s="1"/>
  <c r="A280" i="47" l="1"/>
  <c r="J285" i="55" s="1"/>
  <c r="E279" i="47"/>
  <c r="D279" i="47"/>
  <c r="G279" i="47"/>
  <c r="H279" i="47"/>
  <c r="F279" i="47"/>
  <c r="C279" i="47"/>
  <c r="A281" i="47" l="1"/>
  <c r="J286" i="55" s="1"/>
  <c r="E280" i="47"/>
  <c r="F280" i="47"/>
  <c r="C280" i="47"/>
  <c r="G280" i="47"/>
  <c r="D280" i="47"/>
  <c r="H280" i="47"/>
  <c r="G281" i="47" l="1"/>
  <c r="F281" i="47"/>
  <c r="E281" i="47"/>
  <c r="C281" i="47"/>
  <c r="H281" i="47"/>
  <c r="D281" i="47"/>
  <c r="A282" i="47"/>
  <c r="J287" i="55" s="1"/>
  <c r="H282" i="47" l="1"/>
  <c r="D282" i="47"/>
  <c r="F282" i="47"/>
  <c r="A283" i="47"/>
  <c r="J288" i="55" s="1"/>
  <c r="E282" i="47"/>
  <c r="C282" i="47"/>
  <c r="G282" i="47"/>
  <c r="H283" i="47" l="1"/>
  <c r="G283" i="47"/>
  <c r="F283" i="47"/>
  <c r="E283" i="47"/>
  <c r="C283" i="47"/>
  <c r="D283" i="47"/>
  <c r="A284" i="47"/>
  <c r="J289" i="55" s="1"/>
  <c r="H284" i="47" l="1"/>
  <c r="C284" i="47"/>
  <c r="E284" i="47"/>
  <c r="F284" i="47"/>
  <c r="A285" i="47"/>
  <c r="J290" i="55" s="1"/>
  <c r="G284" i="47"/>
  <c r="D284" i="47"/>
  <c r="G285" i="47" l="1"/>
  <c r="H285" i="47"/>
  <c r="E285" i="47"/>
  <c r="A286" i="47"/>
  <c r="J291" i="55" s="1"/>
  <c r="C285" i="47"/>
  <c r="F285" i="47"/>
  <c r="D285" i="47"/>
  <c r="G286" i="47" l="1"/>
  <c r="H286" i="47"/>
  <c r="D286" i="47"/>
  <c r="A287" i="47"/>
  <c r="J292" i="55" s="1"/>
  <c r="C286" i="47"/>
  <c r="E286" i="47"/>
  <c r="F286" i="47"/>
  <c r="E287" i="47" l="1"/>
  <c r="A288" i="47"/>
  <c r="J293" i="55" s="1"/>
  <c r="H287" i="47"/>
  <c r="C287" i="47"/>
  <c r="D287" i="47"/>
  <c r="G287" i="47"/>
  <c r="F287" i="47"/>
  <c r="A289" i="47" l="1"/>
  <c r="J294" i="55" s="1"/>
  <c r="G288" i="47"/>
  <c r="F288" i="47"/>
  <c r="H288" i="47"/>
  <c r="D288" i="47"/>
  <c r="E288" i="47"/>
  <c r="C288" i="47"/>
  <c r="H289" i="47" l="1"/>
  <c r="E289" i="47"/>
  <c r="D289" i="47"/>
  <c r="G289" i="47"/>
  <c r="C289" i="47"/>
  <c r="A290" i="47"/>
  <c r="J295" i="55" s="1"/>
  <c r="F289" i="47"/>
  <c r="A291" i="47" l="1"/>
  <c r="J296" i="55" s="1"/>
  <c r="C290" i="47"/>
  <c r="F290" i="47"/>
  <c r="E290" i="47"/>
  <c r="G290" i="47"/>
  <c r="D290" i="47"/>
  <c r="H290" i="47"/>
  <c r="E291" i="47" l="1"/>
  <c r="C291" i="47"/>
  <c r="D291" i="47"/>
  <c r="H291" i="47"/>
  <c r="A292" i="47"/>
  <c r="J297" i="55" s="1"/>
  <c r="F291" i="47"/>
  <c r="G291" i="47"/>
  <c r="A293" i="47" l="1"/>
  <c r="J298" i="55" s="1"/>
  <c r="H292" i="47"/>
  <c r="G292" i="47"/>
  <c r="D292" i="47"/>
  <c r="F292" i="47"/>
  <c r="C292" i="47"/>
  <c r="E292" i="47"/>
  <c r="A294" i="47" l="1"/>
  <c r="J299" i="55" s="1"/>
  <c r="C293" i="47"/>
  <c r="D293" i="47"/>
  <c r="H293" i="47"/>
  <c r="F293" i="47"/>
  <c r="G293" i="47"/>
  <c r="E293" i="47"/>
  <c r="G294" i="47" l="1"/>
  <c r="E294" i="47"/>
  <c r="H294" i="47"/>
  <c r="D294" i="47"/>
  <c r="F294" i="47"/>
  <c r="A295" i="47"/>
  <c r="J300" i="55" s="1"/>
  <c r="C294" i="47"/>
  <c r="E295" i="47" l="1"/>
  <c r="C295" i="47"/>
  <c r="H295" i="47"/>
  <c r="D295" i="47"/>
  <c r="G295" i="47"/>
  <c r="A296" i="47"/>
  <c r="J301" i="55" s="1"/>
  <c r="F295" i="47"/>
  <c r="E296" i="47" l="1"/>
  <c r="H296" i="47"/>
  <c r="A297" i="47"/>
  <c r="J302" i="55" s="1"/>
  <c r="G296" i="47"/>
  <c r="F296" i="47"/>
  <c r="C296" i="47"/>
  <c r="D296" i="47"/>
  <c r="C297" i="47" l="1"/>
  <c r="D297" i="47"/>
  <c r="E297" i="47"/>
  <c r="A298" i="47"/>
  <c r="J303" i="55" s="1"/>
  <c r="F297" i="47"/>
  <c r="H297" i="47"/>
  <c r="G297" i="47"/>
  <c r="A299" i="47" l="1"/>
  <c r="J304" i="55" s="1"/>
  <c r="H298" i="47"/>
  <c r="D298" i="47"/>
  <c r="C298" i="47"/>
  <c r="E298" i="47"/>
  <c r="F298" i="47"/>
  <c r="G298" i="47"/>
  <c r="G299" i="47" l="1"/>
  <c r="D299" i="47"/>
  <c r="E299" i="47"/>
  <c r="H299" i="47"/>
  <c r="C299" i="47"/>
  <c r="F299" i="47"/>
  <c r="A300" i="47"/>
  <c r="J305" i="55" s="1"/>
  <c r="H300" i="47" l="1"/>
  <c r="D300" i="47"/>
  <c r="E300" i="47"/>
  <c r="G300" i="47"/>
  <c r="C300" i="47"/>
  <c r="F300" i="47"/>
  <c r="A301" i="47"/>
  <c r="J306" i="55" s="1"/>
  <c r="G301" i="47" l="1"/>
  <c r="C301" i="47"/>
  <c r="A302" i="47"/>
  <c r="J307" i="55" s="1"/>
  <c r="E301" i="47"/>
  <c r="F301" i="47"/>
  <c r="D301" i="47"/>
  <c r="H301" i="47"/>
  <c r="E302" i="47" l="1"/>
  <c r="A303" i="47"/>
  <c r="J308" i="55" s="1"/>
  <c r="H302" i="47"/>
  <c r="C302" i="47"/>
  <c r="G302" i="47"/>
  <c r="F302" i="47"/>
  <c r="D302" i="47"/>
  <c r="C303" i="47" l="1"/>
  <c r="D303" i="47"/>
  <c r="A304" i="47"/>
  <c r="J309" i="55" s="1"/>
  <c r="H303" i="47"/>
  <c r="E303" i="47"/>
  <c r="F303" i="47"/>
  <c r="G303" i="47"/>
  <c r="H304" i="47" l="1"/>
  <c r="G304" i="47"/>
  <c r="E304" i="47"/>
  <c r="C304" i="47"/>
  <c r="D304" i="47"/>
  <c r="F304" i="47"/>
  <c r="A305" i="47"/>
  <c r="J310" i="55" s="1"/>
  <c r="C305" i="47" l="1"/>
  <c r="A306" i="47"/>
  <c r="J311" i="55" s="1"/>
  <c r="H305" i="47"/>
  <c r="E305" i="47"/>
  <c r="D305" i="47"/>
  <c r="F305" i="47"/>
  <c r="G305" i="47"/>
  <c r="A307" i="47" l="1"/>
  <c r="J312" i="55" s="1"/>
  <c r="E306" i="47"/>
  <c r="D306" i="47"/>
  <c r="F306" i="47"/>
  <c r="C306" i="47"/>
  <c r="H306" i="47"/>
  <c r="G306" i="47"/>
  <c r="H307" i="47" l="1"/>
  <c r="F307" i="47"/>
  <c r="E307" i="47"/>
  <c r="C307" i="47"/>
  <c r="G307" i="47"/>
  <c r="A308" i="47"/>
  <c r="J313" i="55" s="1"/>
  <c r="D307" i="47"/>
  <c r="C308" i="47" l="1"/>
  <c r="F308" i="47"/>
  <c r="A309" i="47"/>
  <c r="J314" i="55" s="1"/>
  <c r="H308" i="47"/>
  <c r="D308" i="47"/>
  <c r="G308" i="47"/>
  <c r="E308" i="47"/>
  <c r="C309" i="47" l="1"/>
  <c r="D309" i="47"/>
  <c r="A310" i="47"/>
  <c r="J315" i="55" s="1"/>
  <c r="G309" i="47"/>
  <c r="E309" i="47"/>
  <c r="H309" i="47"/>
  <c r="F309" i="47"/>
  <c r="H310" i="47" l="1"/>
  <c r="A311" i="47"/>
  <c r="J316" i="55" s="1"/>
  <c r="G310" i="47"/>
  <c r="E310" i="47"/>
  <c r="F310" i="47"/>
  <c r="C310" i="47"/>
  <c r="D310" i="47"/>
  <c r="G311" i="47" l="1"/>
  <c r="D311" i="47"/>
  <c r="C311" i="47"/>
  <c r="H311" i="47"/>
  <c r="E311" i="47"/>
  <c r="A312" i="47"/>
  <c r="J317" i="55" s="1"/>
  <c r="F311" i="47"/>
  <c r="H312" i="47" l="1"/>
  <c r="E312" i="47"/>
  <c r="C312" i="47"/>
  <c r="A313" i="47"/>
  <c r="J318" i="55" s="1"/>
  <c r="G312" i="47"/>
  <c r="F312" i="47"/>
  <c r="D312" i="47"/>
  <c r="C313" i="47" l="1"/>
  <c r="F313" i="47"/>
  <c r="E313" i="47"/>
  <c r="G313" i="47"/>
  <c r="A314" i="47"/>
  <c r="J319" i="55" s="1"/>
  <c r="H313" i="47"/>
  <c r="D313" i="47"/>
  <c r="G314" i="47" l="1"/>
  <c r="F314" i="47"/>
  <c r="C314" i="47"/>
  <c r="H314" i="47"/>
  <c r="E314" i="47"/>
  <c r="D314" i="47"/>
  <c r="A315" i="47"/>
  <c r="J320" i="55" s="1"/>
  <c r="G315" i="47" l="1"/>
  <c r="E315" i="47"/>
  <c r="H315" i="47"/>
  <c r="D315" i="47"/>
  <c r="A316" i="47"/>
  <c r="J321" i="55" s="1"/>
  <c r="C315" i="47"/>
  <c r="F315" i="47"/>
  <c r="H316" i="47" l="1"/>
  <c r="E316" i="47"/>
  <c r="F316" i="47"/>
  <c r="G316" i="47"/>
  <c r="C316" i="47"/>
  <c r="A317" i="47"/>
  <c r="J322" i="55" s="1"/>
  <c r="D316" i="47"/>
  <c r="C317" i="47" l="1"/>
  <c r="F317" i="47"/>
  <c r="H317" i="47"/>
  <c r="A318" i="47"/>
  <c r="J323" i="55" s="1"/>
  <c r="G317" i="47"/>
  <c r="D317" i="47"/>
  <c r="E317" i="47"/>
  <c r="H318" i="47" l="1"/>
  <c r="G318" i="47"/>
  <c r="A319" i="47"/>
  <c r="J324" i="55" s="1"/>
  <c r="C318" i="47"/>
  <c r="F318" i="47"/>
  <c r="D318" i="47"/>
  <c r="E318" i="47"/>
  <c r="H319" i="47" l="1"/>
  <c r="C319" i="47"/>
  <c r="G319" i="47"/>
  <c r="D319" i="47"/>
  <c r="A320" i="47"/>
  <c r="J325" i="55" s="1"/>
  <c r="E319" i="47"/>
  <c r="F319" i="47"/>
  <c r="H320" i="47" l="1"/>
  <c r="G320" i="47"/>
  <c r="F320" i="47"/>
  <c r="E320" i="47"/>
  <c r="C320" i="47"/>
  <c r="D320" i="47"/>
  <c r="A321" i="47"/>
  <c r="J326" i="55" s="1"/>
  <c r="A322" i="47" l="1"/>
  <c r="J327" i="55" s="1"/>
  <c r="E321" i="47"/>
  <c r="H321" i="47"/>
  <c r="C321" i="47"/>
  <c r="D321" i="47"/>
  <c r="F321" i="47"/>
  <c r="G321" i="47"/>
  <c r="G322" i="47" l="1"/>
  <c r="C322" i="47"/>
  <c r="H322" i="47"/>
  <c r="E322" i="47"/>
  <c r="D322" i="47"/>
  <c r="F322" i="47"/>
  <c r="A323" i="47"/>
  <c r="J328" i="55" s="1"/>
  <c r="A324" i="47" l="1"/>
  <c r="J329" i="55" s="1"/>
  <c r="E323" i="47"/>
  <c r="D323" i="47"/>
  <c r="G323" i="47"/>
  <c r="C323" i="47"/>
  <c r="F323" i="47"/>
  <c r="H323" i="47"/>
  <c r="G324" i="47" l="1"/>
  <c r="H324" i="47"/>
  <c r="A325" i="47"/>
  <c r="J330" i="55" s="1"/>
  <c r="E324" i="47"/>
  <c r="F324" i="47"/>
  <c r="D324" i="47"/>
  <c r="C324" i="47"/>
  <c r="C325" i="47" l="1"/>
  <c r="G325" i="47"/>
  <c r="E325" i="47"/>
  <c r="H325" i="47"/>
  <c r="A326" i="47"/>
  <c r="J331" i="55" s="1"/>
  <c r="F325" i="47"/>
  <c r="D325" i="47"/>
  <c r="C326" i="47" l="1"/>
  <c r="D326" i="47"/>
  <c r="A327" i="47"/>
  <c r="J332" i="55" s="1"/>
  <c r="E326" i="47"/>
  <c r="G326" i="47"/>
  <c r="F326" i="47"/>
  <c r="H326" i="47"/>
  <c r="A328" i="47" l="1"/>
  <c r="J333" i="55" s="1"/>
  <c r="F327" i="47"/>
  <c r="D327" i="47"/>
  <c r="H327" i="47"/>
  <c r="C327" i="47"/>
  <c r="E327" i="47"/>
  <c r="G327" i="47"/>
  <c r="E328" i="47" l="1"/>
  <c r="A329" i="47"/>
  <c r="J334" i="55" s="1"/>
  <c r="F328" i="47"/>
  <c r="G328" i="47"/>
  <c r="C328" i="47"/>
  <c r="D328" i="47"/>
  <c r="H328" i="47"/>
  <c r="H329" i="47" l="1"/>
  <c r="A330" i="47"/>
  <c r="J335" i="55" s="1"/>
  <c r="D329" i="47"/>
  <c r="C329" i="47"/>
  <c r="G329" i="47"/>
  <c r="E329" i="47"/>
  <c r="F329" i="47"/>
  <c r="E330" i="47" l="1"/>
  <c r="F330" i="47"/>
  <c r="A331" i="47"/>
  <c r="J336" i="55" s="1"/>
  <c r="D330" i="47"/>
  <c r="H330" i="47"/>
  <c r="C330" i="47"/>
  <c r="G330" i="47"/>
  <c r="A332" i="47" l="1"/>
  <c r="J337" i="55" s="1"/>
  <c r="C331" i="47"/>
  <c r="G331" i="47"/>
  <c r="H331" i="47"/>
  <c r="F331" i="47"/>
  <c r="E331" i="47"/>
  <c r="D331" i="47"/>
  <c r="H332" i="47" l="1"/>
  <c r="A333" i="47"/>
  <c r="J338" i="55" s="1"/>
  <c r="C332" i="47"/>
  <c r="G332" i="47"/>
  <c r="D332" i="47"/>
  <c r="E332" i="47"/>
  <c r="F332" i="47"/>
  <c r="E333" i="47" l="1"/>
  <c r="C333" i="47"/>
  <c r="A334" i="47"/>
  <c r="J339" i="55" s="1"/>
  <c r="G333" i="47"/>
  <c r="D333" i="47"/>
  <c r="H333" i="47"/>
  <c r="F333" i="47"/>
  <c r="A335" i="47" l="1"/>
  <c r="J340" i="55" s="1"/>
  <c r="D334" i="47"/>
  <c r="E334" i="47"/>
  <c r="H334" i="47"/>
  <c r="G334" i="47"/>
  <c r="F334" i="47"/>
  <c r="C334" i="47"/>
  <c r="G335" i="47" l="1"/>
  <c r="H335" i="47"/>
  <c r="E335" i="47"/>
  <c r="A336" i="47"/>
  <c r="J341" i="55" s="1"/>
  <c r="C335" i="47"/>
  <c r="F335" i="47"/>
  <c r="D335" i="47"/>
  <c r="A337" i="47" l="1"/>
  <c r="J342" i="55" s="1"/>
  <c r="D336" i="47"/>
  <c r="E336" i="47"/>
  <c r="G336" i="47"/>
  <c r="H336" i="47"/>
  <c r="C336" i="47"/>
  <c r="F336" i="47"/>
  <c r="E337" i="47" l="1"/>
  <c r="F337" i="47"/>
  <c r="D337" i="47"/>
  <c r="A338" i="47"/>
  <c r="J343" i="55" s="1"/>
  <c r="H337" i="47"/>
  <c r="C337" i="47"/>
  <c r="G337" i="47"/>
  <c r="A339" i="47" l="1"/>
  <c r="J344" i="55" s="1"/>
  <c r="F338" i="47"/>
  <c r="C338" i="47"/>
  <c r="E338" i="47"/>
  <c r="D338" i="47"/>
  <c r="H338" i="47"/>
  <c r="G338" i="47"/>
  <c r="H339" i="47" l="1"/>
  <c r="E339" i="47"/>
  <c r="C339" i="47"/>
  <c r="G339" i="47"/>
  <c r="D339" i="47"/>
  <c r="F339" i="47"/>
  <c r="A340" i="47"/>
  <c r="J345" i="55" s="1"/>
  <c r="H340" i="47" l="1"/>
  <c r="D340" i="47"/>
  <c r="F340" i="47"/>
  <c r="E340" i="47"/>
  <c r="G340" i="47"/>
  <c r="A341" i="47"/>
  <c r="J346" i="55" s="1"/>
  <c r="C340" i="47"/>
  <c r="H341" i="47" l="1"/>
  <c r="C341" i="47"/>
  <c r="F341" i="47"/>
  <c r="A342" i="47"/>
  <c r="J347" i="55" s="1"/>
  <c r="E341" i="47"/>
  <c r="D341" i="47"/>
  <c r="G341" i="47"/>
  <c r="A343" i="47" l="1"/>
  <c r="J348" i="55" s="1"/>
  <c r="G342" i="47"/>
  <c r="F342" i="47"/>
  <c r="C342" i="47"/>
  <c r="E342" i="47"/>
  <c r="H342" i="47"/>
  <c r="D342" i="47"/>
  <c r="C343" i="47" l="1"/>
  <c r="G343" i="47"/>
  <c r="H343" i="47"/>
  <c r="A344" i="47"/>
  <c r="J349" i="55" s="1"/>
  <c r="E343" i="47"/>
  <c r="F343" i="47"/>
  <c r="D343" i="47"/>
  <c r="E344" i="47" l="1"/>
  <c r="F344" i="47"/>
  <c r="G344" i="47"/>
  <c r="A345" i="47"/>
  <c r="J350" i="55" s="1"/>
  <c r="H344" i="47"/>
  <c r="C344" i="47"/>
  <c r="D344" i="47"/>
  <c r="G345" i="47" l="1"/>
  <c r="D345" i="47"/>
  <c r="C345" i="47"/>
  <c r="A346" i="47"/>
  <c r="J351" i="55" s="1"/>
  <c r="E345" i="47"/>
  <c r="F345" i="47"/>
  <c r="H345" i="47"/>
  <c r="C346" i="47" l="1"/>
  <c r="A347" i="47"/>
  <c r="J352" i="55" s="1"/>
  <c r="H346" i="47"/>
  <c r="G346" i="47"/>
  <c r="F346" i="47"/>
  <c r="D346" i="47"/>
  <c r="E346" i="47"/>
  <c r="A348" i="47" l="1"/>
  <c r="J353" i="55" s="1"/>
  <c r="E347" i="47"/>
  <c r="C347" i="47"/>
  <c r="F347" i="47"/>
  <c r="H347" i="47"/>
  <c r="G347" i="47"/>
  <c r="D347" i="47"/>
  <c r="H348" i="47" l="1"/>
  <c r="E348" i="47"/>
  <c r="F348" i="47"/>
  <c r="G348" i="47"/>
  <c r="C348" i="47"/>
  <c r="D348" i="47"/>
  <c r="A349" i="47"/>
  <c r="J354" i="55" s="1"/>
  <c r="C349" i="47" l="1"/>
  <c r="G349" i="47"/>
  <c r="F349" i="47"/>
  <c r="H349" i="47"/>
  <c r="A350" i="47"/>
  <c r="J355" i="55" s="1"/>
  <c r="E349" i="47"/>
  <c r="D349" i="47"/>
  <c r="C350" i="47" l="1"/>
  <c r="H350" i="47"/>
  <c r="A351" i="47"/>
  <c r="J356" i="55" s="1"/>
  <c r="G350" i="47"/>
  <c r="F350" i="47"/>
  <c r="D350" i="47"/>
  <c r="E350" i="47"/>
  <c r="G351" i="47" l="1"/>
  <c r="C351" i="47"/>
  <c r="E351" i="47"/>
  <c r="D351" i="47"/>
  <c r="F351" i="47"/>
  <c r="H351" i="47"/>
  <c r="A352" i="47"/>
  <c r="J357" i="55" s="1"/>
  <c r="E352" i="47" l="1"/>
  <c r="C352" i="47"/>
  <c r="A353" i="47"/>
  <c r="J358" i="55" s="1"/>
  <c r="H352" i="47"/>
  <c r="F352" i="47"/>
  <c r="D352" i="47"/>
  <c r="G352" i="47"/>
  <c r="G353" i="47" l="1"/>
  <c r="F353" i="47"/>
  <c r="E353" i="47"/>
  <c r="C353" i="47"/>
  <c r="A354" i="47"/>
  <c r="J359" i="55" s="1"/>
  <c r="D353" i="47"/>
  <c r="H353" i="47"/>
  <c r="E354" i="47" l="1"/>
  <c r="A355" i="47"/>
  <c r="J360" i="55" s="1"/>
  <c r="H354" i="47"/>
  <c r="G354" i="47"/>
  <c r="C354" i="47"/>
  <c r="F354" i="47"/>
  <c r="D354" i="47"/>
  <c r="A356" i="47" l="1"/>
  <c r="J361" i="55" s="1"/>
  <c r="D355" i="47"/>
  <c r="F355" i="47"/>
  <c r="H355" i="47"/>
  <c r="G355" i="47"/>
  <c r="E355" i="47"/>
  <c r="C355" i="47"/>
  <c r="E17" i="55"/>
  <c r="E356" i="47" l="1"/>
  <c r="H356" i="47"/>
  <c r="G356" i="47"/>
  <c r="F356" i="47"/>
  <c r="C356" i="47"/>
  <c r="D356" i="47"/>
  <c r="A357" i="47"/>
  <c r="J362" i="55" s="1"/>
  <c r="C357" i="47" l="1"/>
  <c r="E357" i="47"/>
  <c r="H357" i="47"/>
  <c r="G357" i="47"/>
  <c r="F357" i="47"/>
  <c r="A358" i="47"/>
  <c r="J363" i="55" s="1"/>
  <c r="D357" i="47"/>
  <c r="C358" i="47" l="1"/>
  <c r="A359" i="47"/>
  <c r="J364" i="55" s="1"/>
  <c r="H358" i="47"/>
  <c r="G358" i="47"/>
  <c r="E358" i="47"/>
  <c r="F358" i="47"/>
  <c r="D358" i="47"/>
  <c r="C359" i="47" l="1"/>
  <c r="A360" i="47"/>
  <c r="J365" i="55" s="1"/>
  <c r="E359" i="47"/>
  <c r="G359" i="47"/>
  <c r="F359" i="47"/>
  <c r="D359" i="47"/>
  <c r="H359" i="47"/>
  <c r="E360" i="47" l="1"/>
  <c r="A361" i="47"/>
  <c r="J366" i="55" s="1"/>
  <c r="C360" i="47"/>
  <c r="G360" i="47"/>
  <c r="H360" i="47"/>
  <c r="F360" i="47"/>
  <c r="D360" i="47"/>
  <c r="E361" i="47" l="1"/>
  <c r="H361" i="47"/>
  <c r="G361" i="47"/>
  <c r="A362" i="47"/>
  <c r="J367" i="55" s="1"/>
  <c r="C361" i="47"/>
  <c r="F361" i="47"/>
  <c r="D361" i="47"/>
  <c r="E362" i="47" l="1"/>
  <c r="D362" i="47"/>
  <c r="A363" i="47"/>
  <c r="J368" i="55" s="1"/>
  <c r="C362" i="47"/>
  <c r="H362" i="47"/>
  <c r="G362" i="47"/>
  <c r="F362" i="47"/>
  <c r="H363" i="47" l="1"/>
  <c r="D363" i="47"/>
  <c r="G363" i="47"/>
  <c r="C363" i="47"/>
  <c r="E363" i="47"/>
  <c r="F363" i="47"/>
  <c r="A364" i="47"/>
  <c r="J369" i="55" s="1"/>
  <c r="H364" i="47" l="1"/>
  <c r="G364" i="47"/>
  <c r="D364" i="47"/>
  <c r="F364" i="47"/>
  <c r="A365" i="47"/>
  <c r="J370" i="55" s="1"/>
  <c r="E364" i="47"/>
  <c r="C364" i="47"/>
  <c r="C365" i="47" l="1"/>
  <c r="H365" i="47"/>
  <c r="G365" i="47"/>
  <c r="F365" i="47"/>
  <c r="D365" i="47"/>
  <c r="A366" i="47"/>
  <c r="J371" i="55" s="1"/>
  <c r="E365" i="47"/>
  <c r="E366" i="47" l="1"/>
  <c r="G366" i="47"/>
  <c r="C366" i="47"/>
  <c r="D366" i="47"/>
  <c r="A367" i="47"/>
  <c r="J372" i="55" s="1"/>
  <c r="F366" i="47"/>
  <c r="H366" i="47"/>
  <c r="G367" i="47" l="1"/>
  <c r="C367" i="47"/>
  <c r="E367" i="47"/>
  <c r="H367" i="47"/>
  <c r="F367" i="47"/>
  <c r="D367" i="47"/>
</calcChain>
</file>

<file path=xl/sharedStrings.xml><?xml version="1.0" encoding="utf-8"?>
<sst xmlns="http://schemas.openxmlformats.org/spreadsheetml/2006/main" count="1000" uniqueCount="800">
  <si>
    <t>GPM</t>
  </si>
  <si>
    <t>GMM</t>
  </si>
  <si>
    <t>GMP</t>
  </si>
  <si>
    <t>GPP</t>
  </si>
  <si>
    <t>Année de naissance</t>
  </si>
  <si>
    <t>Année de décès</t>
  </si>
  <si>
    <t>P</t>
  </si>
  <si>
    <t>F1</t>
  </si>
  <si>
    <t>F2</t>
  </si>
  <si>
    <t>F3</t>
  </si>
  <si>
    <t>F4</t>
  </si>
  <si>
    <t>F5</t>
  </si>
  <si>
    <t>S1</t>
  </si>
  <si>
    <t>S2</t>
  </si>
  <si>
    <t>S3</t>
  </si>
  <si>
    <t>S4</t>
  </si>
  <si>
    <t>S5</t>
  </si>
  <si>
    <t>Maigreur</t>
  </si>
  <si>
    <t>Rondeurs</t>
  </si>
  <si>
    <t>Génogramme</t>
  </si>
  <si>
    <t>Grands parents</t>
  </si>
  <si>
    <t xml:space="preserve">Antécédents </t>
  </si>
  <si>
    <t>maternels</t>
  </si>
  <si>
    <t>paternels</t>
  </si>
  <si>
    <t>Fratrie</t>
  </si>
  <si>
    <t>Eventuellement</t>
  </si>
  <si>
    <t>Antécédents</t>
  </si>
  <si>
    <t>F6</t>
  </si>
  <si>
    <t>S6</t>
  </si>
  <si>
    <t>Mère</t>
  </si>
  <si>
    <t>Père</t>
  </si>
  <si>
    <t>-</t>
  </si>
  <si>
    <t>Grands Parents</t>
  </si>
  <si>
    <t>Frère(s)</t>
  </si>
  <si>
    <t>Sœur(s)</t>
  </si>
  <si>
    <t>Grand-mère</t>
  </si>
  <si>
    <t>Grand-père</t>
  </si>
  <si>
    <t>BAC + 1</t>
  </si>
  <si>
    <t>Plutôt vrai</t>
  </si>
  <si>
    <t>Plutôt faux</t>
  </si>
  <si>
    <t>S 27</t>
  </si>
  <si>
    <t>S 28</t>
  </si>
  <si>
    <t>S 29</t>
  </si>
  <si>
    <t>S 30</t>
  </si>
  <si>
    <t>S 31</t>
  </si>
  <si>
    <t>S 32</t>
  </si>
  <si>
    <t>S 33</t>
  </si>
  <si>
    <t>S 34</t>
  </si>
  <si>
    <t>S 35</t>
  </si>
  <si>
    <t>S 36</t>
  </si>
  <si>
    <t>S 37</t>
  </si>
  <si>
    <t>S 38</t>
  </si>
  <si>
    <t>S 39</t>
  </si>
  <si>
    <t>S 40</t>
  </si>
  <si>
    <t>Crise(s)</t>
  </si>
  <si>
    <t>De 4 à 6 par semaine</t>
  </si>
  <si>
    <t>De 1 à 2 par jour</t>
  </si>
  <si>
    <t>Plus de 2 par jour</t>
  </si>
  <si>
    <t>Cette phase de crises de boulimie ou de pertes de contrôle dure depuis combien de temps d'après vous ?</t>
  </si>
  <si>
    <t>Moins de 3 mois</t>
  </si>
  <si>
    <t>De 3 à 6 mois</t>
  </si>
  <si>
    <t>De 6 mois à 2 ans</t>
  </si>
  <si>
    <t>Plus de 2 ans</t>
  </si>
  <si>
    <t>Ces crises ou pertes de contrôle sont-elles suivies de vomissements ?</t>
  </si>
  <si>
    <t>Parfois (moins d'une fois sur deux)</t>
  </si>
  <si>
    <t>Souvent (plus d'une fois sur deux)</t>
  </si>
  <si>
    <t>A chaque crise</t>
  </si>
  <si>
    <t>A chaque crise et à certains repas</t>
  </si>
  <si>
    <t>Faites-vous recours à des laxatifs dans le but de compenser les effets des crises ?</t>
  </si>
  <si>
    <t>Faites-vous recours à des diurétiques dans le but de compenser les effets des crises ?</t>
  </si>
  <si>
    <t>Avez-vous tendance à réduire le nombre de repas pris chaque jour ?</t>
  </si>
  <si>
    <t>Je prends 3 repas et 1 collation chaque jour</t>
  </si>
  <si>
    <t>NC</t>
  </si>
  <si>
    <t>Quotidiennement</t>
  </si>
  <si>
    <t>Quel est l'impact des crises et comportements compensatoires sur votre sensation de fatigue physique ?</t>
  </si>
  <si>
    <t>Votre sommeil en est-il perturbé?</t>
  </si>
  <si>
    <t>A cause de ces crises et pertes de contrôle, vous arrive-t-il de prendre de l'alcool, des drogues ou des médicaments non prescrits?</t>
  </si>
  <si>
    <t>Ces troubles vous empêchent-ils de travailler?</t>
  </si>
  <si>
    <t>Ces crises ont-elles un impact sur votre budget?</t>
  </si>
  <si>
    <t>Ces troubles nuisent-ils à vos relations avec les membres de votre famille (parents, enfants ou proches)?</t>
  </si>
  <si>
    <t>Ces troubles nuisent-ils à vos relations avec vos ami(e)s?</t>
  </si>
  <si>
    <t>Ces troubles nuisent-ils à votre vie amoureuse?</t>
  </si>
  <si>
    <t>Sur une échelle de 0 à 10, à combien estimez-vous la souffrance que vous occasionnent ces troubles avec: 0 = pas du tout de souffrance; 10 = une souffrance extrême.</t>
  </si>
  <si>
    <t>Evitez-vous de manger certains aliments systématiquement ?</t>
  </si>
  <si>
    <t>J'évite les graisses</t>
  </si>
  <si>
    <t>J'évite les sucres et les féculents</t>
  </si>
  <si>
    <t>J'évite les graisses et les sucres</t>
  </si>
  <si>
    <t>J'évite tous les aliments riches</t>
  </si>
  <si>
    <t>Non, pas particulièrement</t>
  </si>
  <si>
    <t>Totalement</t>
  </si>
  <si>
    <t>Nul</t>
  </si>
  <si>
    <t>Maximum normal</t>
  </si>
  <si>
    <t>Max normal</t>
  </si>
  <si>
    <t>Non concerné</t>
  </si>
  <si>
    <t>TCA non spécifié (F50.9)</t>
  </si>
  <si>
    <t>Hyperphagie Boulimique (F50.4)</t>
  </si>
  <si>
    <t>Tout à fait d'accord</t>
  </si>
  <si>
    <t>Agriculteurs exploitants</t>
  </si>
  <si>
    <t>Artisans, commerçants et chefs d'entreprise</t>
  </si>
  <si>
    <t>Cadres et professions intellectuelles supérieures</t>
  </si>
  <si>
    <t>Professions Intermédiaires</t>
  </si>
  <si>
    <t>Employés</t>
  </si>
  <si>
    <t>Ouvriers</t>
  </si>
  <si>
    <t>Retraités</t>
  </si>
  <si>
    <t>Autres personnes sans activité professionnelle</t>
  </si>
  <si>
    <t xml:space="preserve">  Professions :</t>
  </si>
  <si>
    <t>Diagnostic</t>
  </si>
  <si>
    <t>mariés</t>
  </si>
  <si>
    <t>séparés ou divorcés</t>
  </si>
  <si>
    <t>Durée cumulée:</t>
  </si>
  <si>
    <t>Langue maternelle ( langue dans laquelle a été effectuée la majorité de la scolarité)</t>
  </si>
  <si>
    <t>État civil</t>
  </si>
  <si>
    <t xml:space="preserve"> </t>
  </si>
  <si>
    <t>célibataire</t>
  </si>
  <si>
    <t>marié(e)</t>
  </si>
  <si>
    <t>séparé(e) ou divorcé(e)</t>
  </si>
  <si>
    <t>veuf(ve)</t>
  </si>
  <si>
    <t>Vous habitez :</t>
  </si>
  <si>
    <t>propre salaire</t>
  </si>
  <si>
    <t>seul(e)</t>
  </si>
  <si>
    <t>soutien des parents</t>
  </si>
  <si>
    <t>avec vos parents</t>
  </si>
  <si>
    <t>bourse</t>
  </si>
  <si>
    <t>en couple</t>
  </si>
  <si>
    <t>en collocation</t>
  </si>
  <si>
    <t>autre</t>
  </si>
  <si>
    <t>Anorexie Mentale Restrictive (F50.0)</t>
  </si>
  <si>
    <t>Anorexie Mentale avec purge (F50.0)</t>
  </si>
  <si>
    <t>Boulimie avec purge (F50.2)</t>
  </si>
  <si>
    <t>Boulimie sans purge (F50.2)</t>
  </si>
  <si>
    <t>Anorexie atypique (F50.1)</t>
  </si>
  <si>
    <t>Boulimie atypique (F50.3)</t>
  </si>
  <si>
    <t>Entrée en hospitalisation</t>
  </si>
  <si>
    <t>Sortie d'hospitalisation</t>
  </si>
  <si>
    <t>Consultation préalable</t>
  </si>
  <si>
    <t>Fin de traitement</t>
  </si>
  <si>
    <t>Post-test</t>
  </si>
  <si>
    <t>Pré-test ambulatoire</t>
  </si>
  <si>
    <t>janvier</t>
  </si>
  <si>
    <t>février</t>
  </si>
  <si>
    <t>mars</t>
  </si>
  <si>
    <t>avril</t>
  </si>
  <si>
    <t>mai</t>
  </si>
  <si>
    <t>juin</t>
  </si>
  <si>
    <t>juillet</t>
  </si>
  <si>
    <t>août</t>
  </si>
  <si>
    <t>septembre</t>
  </si>
  <si>
    <t>octobre</t>
  </si>
  <si>
    <t>novembre</t>
  </si>
  <si>
    <t>décembre</t>
  </si>
  <si>
    <t>Données interpolées</t>
  </si>
  <si>
    <t>Q32</t>
  </si>
  <si>
    <t>Q33</t>
  </si>
  <si>
    <t>Q34</t>
  </si>
  <si>
    <t>Q35</t>
  </si>
  <si>
    <t>Q36</t>
  </si>
  <si>
    <t>Q37</t>
  </si>
  <si>
    <t>Q38</t>
  </si>
  <si>
    <t>Q39</t>
  </si>
  <si>
    <t>Q40</t>
  </si>
  <si>
    <t>Q41</t>
  </si>
  <si>
    <t>Q42</t>
  </si>
  <si>
    <t>Q43</t>
  </si>
  <si>
    <t>Q44</t>
  </si>
  <si>
    <t>Q45</t>
  </si>
  <si>
    <t>IMC</t>
  </si>
  <si>
    <t>Résultats en %</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</si>
  <si>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</si>
  <si>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</si>
  <si>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</si>
  <si>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</si>
  <si>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</si>
  <si>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</si>
  <si>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</si>
  <si>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</si>
  <si>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</si>
  <si>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</si>
  <si>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</si>
  <si>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</si>
  <si>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</si>
  <si>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</si>
  <si>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</si>
  <si>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</si>
  <si>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</si>
  <si>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</si>
  <si>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</si>
  <si>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</si>
  <si>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</si>
  <si>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</si>
  <si>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</si>
  <si>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</si>
  <si>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</si>
  <si>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</si>
  <si>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</si>
  <si>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</si>
  <si>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</si>
  <si>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</si>
  <si>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</si>
  <si>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Modeste</t>
  </si>
  <si>
    <t>Important</t>
  </si>
  <si>
    <t>Considérable</t>
  </si>
  <si>
    <t>Oui, un peu</t>
  </si>
  <si>
    <t>Non</t>
  </si>
  <si>
    <t>Plutôt non</t>
  </si>
  <si>
    <t>Plutôt oui</t>
  </si>
  <si>
    <t>Oui</t>
  </si>
  <si>
    <t>Parfois</t>
  </si>
  <si>
    <t>Dates</t>
  </si>
  <si>
    <t>Anorexie</t>
  </si>
  <si>
    <t>Plutôt d'accord</t>
  </si>
  <si>
    <t>Plutôt en désaccord</t>
  </si>
  <si>
    <t>Tout à fait en désaccord</t>
  </si>
  <si>
    <t>BAC + 3</t>
  </si>
  <si>
    <t>BAC + 4</t>
  </si>
  <si>
    <t>BAC + 5</t>
  </si>
  <si>
    <t>BAC + 6</t>
  </si>
  <si>
    <t>BAC + 2</t>
  </si>
  <si>
    <t>&gt; BAC + 6</t>
  </si>
  <si>
    <t>Toujours</t>
  </si>
  <si>
    <t>En général</t>
  </si>
  <si>
    <t>Quelquefois</t>
  </si>
  <si>
    <t>Souvent</t>
  </si>
  <si>
    <t>Rarement</t>
  </si>
  <si>
    <t>Jamais</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</si>
  <si>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</si>
  <si>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</si>
  <si>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</si>
  <si>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</si>
  <si>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</si>
  <si>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</si>
  <si>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</si>
  <si>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</si>
  <si>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</si>
  <si>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</si>
  <si>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</si>
  <si>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</si>
  <si>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</si>
  <si>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</si>
  <si>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</si>
  <si>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</si>
  <si>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</si>
  <si>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</si>
  <si>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</si>
  <si>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</si>
  <si>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</si>
  <si>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</si>
  <si>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</si>
  <si>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</si>
  <si>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</si>
  <si>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</si>
  <si>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</si>
  <si>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</si>
  <si>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</si>
  <si>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</si>
  <si>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</si>
  <si>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</si>
  <si>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</si>
  <si>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</si>
  <si>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</si>
  <si>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</si>
  <si>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</si>
  <si>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</si>
  <si>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</si>
  <si>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CAP</t>
  </si>
  <si>
    <t>5 et +</t>
  </si>
  <si>
    <t>Inventaire d'anxiété</t>
  </si>
  <si>
    <t>Purge(s)</t>
  </si>
  <si>
    <t>S 1</t>
  </si>
  <si>
    <t>S 2</t>
  </si>
  <si>
    <t>S 3</t>
  </si>
  <si>
    <t>S 4</t>
  </si>
  <si>
    <t>S 5</t>
  </si>
  <si>
    <t>S 6</t>
  </si>
  <si>
    <t>S 7</t>
  </si>
  <si>
    <t>S 8</t>
  </si>
  <si>
    <t>S 9</t>
  </si>
  <si>
    <t>S 10</t>
  </si>
  <si>
    <t>S 11</t>
  </si>
  <si>
    <t>S 12</t>
  </si>
  <si>
    <t>S 13</t>
  </si>
  <si>
    <t>S 14</t>
  </si>
  <si>
    <t>S 15</t>
  </si>
  <si>
    <t>S 16</t>
  </si>
  <si>
    <t>S 17</t>
  </si>
  <si>
    <t>S 18</t>
  </si>
  <si>
    <t>S 19</t>
  </si>
  <si>
    <t>S 20</t>
  </si>
  <si>
    <t>S 21</t>
  </si>
  <si>
    <t>S 22</t>
  </si>
  <si>
    <t>S 23</t>
  </si>
  <si>
    <t>S 24</t>
  </si>
  <si>
    <t>S 25</t>
  </si>
  <si>
    <t>S 26</t>
  </si>
  <si>
    <t>votre profession ou celle que vous envisagez de faire</t>
  </si>
  <si>
    <t>aucun</t>
  </si>
  <si>
    <t>BEPC</t>
  </si>
  <si>
    <t>BAC</t>
  </si>
  <si>
    <t>Questionnaire Socio-démographique</t>
  </si>
  <si>
    <t xml:space="preserve"> Histoire Thérapeutique</t>
  </si>
  <si>
    <t>Hospitalisations antérieures pour le même trouble (nombre)</t>
  </si>
  <si>
    <t>mois</t>
  </si>
  <si>
    <t xml:space="preserve">mois     </t>
  </si>
  <si>
    <t>psychothérapie classique</t>
  </si>
  <si>
    <t>psychanalyse</t>
  </si>
  <si>
    <t>thérapie rogérienne</t>
  </si>
  <si>
    <t>gestalt</t>
  </si>
  <si>
    <t>thérapie de famille</t>
  </si>
  <si>
    <t>TCC</t>
  </si>
  <si>
    <t>relaxation</t>
  </si>
  <si>
    <t>hypnose</t>
  </si>
  <si>
    <t>en individuel</t>
  </si>
  <si>
    <t>en groupe</t>
  </si>
  <si>
    <t>TIP</t>
  </si>
  <si>
    <t>IMC anorexie</t>
  </si>
  <si>
    <t>Je saute un de ces repas régulièrement</t>
  </si>
  <si>
    <t>Je saute deux de ces repas régulièrement</t>
  </si>
  <si>
    <t>Je saute trois de ces repas régulièrement</t>
  </si>
  <si>
    <t>A quelle fréquence moyenne avez-vous eu des crises boulimiques ou des journées entières de pertes de contrôle de votre alimentation?</t>
  </si>
  <si>
    <t>Faites-vous du sport ou des exercices physiques pour contrôler votre poids ?</t>
  </si>
  <si>
    <t>Évaluation diagnostique</t>
  </si>
  <si>
    <t>Évaluation de l'incidence des troubles</t>
  </si>
  <si>
    <t>Quel est l'impact des crises et comportements compensatoires sur vos dents ?</t>
  </si>
  <si>
    <t>Quel est l'impact des crises et comportements compensatoires sur votre tube digestif ?</t>
  </si>
  <si>
    <t>Ces crises ou pertes de contrôle ont-elles un effet sur votre niveau d'anxiété ?</t>
  </si>
  <si>
    <t>Ces crises ou pertes de contrôle ont-elles un effet sur votre moral ?</t>
  </si>
  <si>
    <t>Ces crises ou pertes de contrôle ont-elles un effet sur votre estime personnelle ?</t>
  </si>
  <si>
    <t>Ces crises ou pertes de contrôle vous rendent-elles irritable?</t>
  </si>
  <si>
    <t>Ces crises ou pertes de contrôle nuisent-elles à votre capacité à vous concentrer dans vos activités?</t>
  </si>
  <si>
    <t>Psychothérapie(s) antérieures éventuelles</t>
  </si>
  <si>
    <t>Type</t>
  </si>
  <si>
    <t>Durée</t>
  </si>
  <si>
    <t>Psychothérapie en cours</t>
  </si>
  <si>
    <t>moment</t>
  </si>
  <si>
    <t>jour de naiss</t>
  </si>
  <si>
    <t>année</t>
  </si>
  <si>
    <t>langue</t>
  </si>
  <si>
    <t>logement</t>
  </si>
  <si>
    <t>finances</t>
  </si>
  <si>
    <t>état civil</t>
  </si>
  <si>
    <t>parents</t>
  </si>
  <si>
    <t>frères</t>
  </si>
  <si>
    <t>sœurs</t>
  </si>
  <si>
    <t>hospitalisations</t>
  </si>
  <si>
    <t>durée</t>
  </si>
  <si>
    <t>thérapie I</t>
  </si>
  <si>
    <t>thérapie II</t>
  </si>
  <si>
    <t>thérapie III</t>
  </si>
  <si>
    <t>thérapie en cours</t>
  </si>
  <si>
    <t>type</t>
  </si>
  <si>
    <t>sexe</t>
  </si>
  <si>
    <t>Date</t>
  </si>
  <si>
    <t>Instructions</t>
  </si>
  <si>
    <t>Etudiants</t>
  </si>
  <si>
    <t>1ère</t>
  </si>
  <si>
    <t>2nde</t>
  </si>
  <si>
    <t>Synthèse</t>
  </si>
  <si>
    <t>IMC de départ</t>
  </si>
  <si>
    <t>Poids de départ</t>
  </si>
  <si>
    <t>Prénom</t>
  </si>
  <si>
    <t>A été vrai dans le passé</t>
  </si>
  <si>
    <t>Vrai de temps en temps</t>
  </si>
  <si>
    <t>Vous trouverez ci-dessous une série de questions permettant de préciser le diagnostic et l'intensité du trouble des conduites alimentaires dont vous souffrez. Il évalue aussi son impact sur votre vie quotidienne. Choisissez la réponse vous paraissant la plus adaptée pour la période des 15 derniers jours.</t>
  </si>
  <si>
    <t>Fréquence</t>
  </si>
  <si>
    <t>Je mange indifféremment de tout</t>
  </si>
  <si>
    <t>vomissements</t>
  </si>
  <si>
    <t>laxatifs</t>
  </si>
  <si>
    <t>diurétiques</t>
  </si>
  <si>
    <t>restrictions</t>
  </si>
  <si>
    <t>sélections</t>
  </si>
  <si>
    <t>sports</t>
  </si>
  <si>
    <t>valeur perso</t>
  </si>
  <si>
    <t>dents</t>
  </si>
  <si>
    <t>digestif</t>
  </si>
  <si>
    <t>physique</t>
  </si>
  <si>
    <t>humeur</t>
  </si>
  <si>
    <t>anxiété</t>
  </si>
  <si>
    <t>irritabilité</t>
  </si>
  <si>
    <t>estime</t>
  </si>
  <si>
    <t>concentration</t>
  </si>
  <si>
    <t>sommeil</t>
  </si>
  <si>
    <t>produits</t>
  </si>
  <si>
    <t>travail</t>
  </si>
  <si>
    <t>argent</t>
  </si>
  <si>
    <t>famille</t>
  </si>
  <si>
    <t>ami</t>
  </si>
  <si>
    <t>amour</t>
  </si>
  <si>
    <t>perso</t>
  </si>
  <si>
    <t>psychique</t>
  </si>
  <si>
    <t>Souffrance</t>
  </si>
  <si>
    <t>Sociale</t>
  </si>
  <si>
    <t>Incidence</t>
  </si>
  <si>
    <t>Date de naissance</t>
  </si>
  <si>
    <t>Age</t>
  </si>
  <si>
    <t>MIN</t>
  </si>
  <si>
    <t>MAX</t>
  </si>
  <si>
    <t>Danger</t>
  </si>
  <si>
    <t>Poids de sortie</t>
  </si>
  <si>
    <t>Poids dangereux</t>
  </si>
  <si>
    <t>Taille</t>
  </si>
  <si>
    <t>Poids</t>
  </si>
  <si>
    <t>Age en mois</t>
  </si>
  <si>
    <t>IMC d'équilibre</t>
  </si>
  <si>
    <t>IMC de sortie</t>
  </si>
  <si>
    <t>IMC dangereux</t>
  </si>
  <si>
    <t>Années</t>
  </si>
  <si>
    <t>Taille en mètres</t>
  </si>
  <si>
    <t>Poids d'équilibre</t>
  </si>
  <si>
    <t>au bout d'un mois</t>
  </si>
  <si>
    <t>au bout de deux mois</t>
  </si>
  <si>
    <t>au bout de trois mois</t>
  </si>
  <si>
    <t>au bout de quatre mois</t>
  </si>
  <si>
    <t>au bout de cinq mois</t>
  </si>
  <si>
    <t>date</t>
  </si>
  <si>
    <t>Sexe</t>
  </si>
  <si>
    <t>M</t>
  </si>
  <si>
    <t>F</t>
  </si>
  <si>
    <t>Correction sup(age&gt;80)</t>
  </si>
  <si>
    <t>Correction sup(age&lt;80)</t>
  </si>
  <si>
    <t>Correction sup(22&lt;age)</t>
  </si>
  <si>
    <t>Correction sup(age&lt;22)</t>
  </si>
  <si>
    <t>Age exact</t>
  </si>
  <si>
    <t>Minimum normal</t>
  </si>
  <si>
    <t>Hospit.</t>
  </si>
  <si>
    <t>Surpoids</t>
  </si>
  <si>
    <t>Obésité</t>
  </si>
  <si>
    <t>CODE</t>
  </si>
  <si>
    <t>corrections hô</t>
  </si>
  <si>
    <t>Diagnostic Principal</t>
  </si>
  <si>
    <t>Bilan intermédiaire 1</t>
  </si>
  <si>
    <t>Bilan intermédiaire 2</t>
  </si>
  <si>
    <t>Bilan intermédiaire 3</t>
  </si>
  <si>
    <t>Boulimie</t>
  </si>
  <si>
    <t>Perfectionnisme</t>
  </si>
  <si>
    <t>Dépression</t>
  </si>
  <si>
    <t>Français</t>
  </si>
  <si>
    <t>Allemand</t>
  </si>
  <si>
    <t>Italien</t>
  </si>
  <si>
    <t>Anglais</t>
  </si>
  <si>
    <t>Espagnol</t>
  </si>
  <si>
    <t>Arabe</t>
  </si>
  <si>
    <t>Autre</t>
  </si>
  <si>
    <t>vie maritale</t>
  </si>
  <si>
    <t>en foyer</t>
  </si>
  <si>
    <t>sans domicile</t>
  </si>
  <si>
    <t>Comment vous financez-vous ?</t>
  </si>
  <si>
    <t>Famille :</t>
  </si>
  <si>
    <t>père décédé</t>
  </si>
  <si>
    <t>mère décédée</t>
  </si>
  <si>
    <t>tous deux décédés</t>
  </si>
  <si>
    <t>père inconnu</t>
  </si>
  <si>
    <t>mère inconnue</t>
  </si>
  <si>
    <t>tous deux inconnus</t>
  </si>
  <si>
    <t>nbre de frères</t>
  </si>
  <si>
    <t>nbre de soeurs</t>
  </si>
  <si>
    <t>Parents</t>
  </si>
  <si>
    <t>Etudes :</t>
  </si>
  <si>
    <t>Niveau atteint</t>
  </si>
  <si>
    <t>père</t>
  </si>
  <si>
    <t>mère</t>
  </si>
  <si>
    <t>vous</t>
  </si>
  <si>
    <t>Parfaitement vrai</t>
  </si>
  <si>
    <t>Généralement vrai</t>
  </si>
  <si>
    <t>Moyennement vrai</t>
  </si>
  <si>
    <t>Absolument faux</t>
  </si>
  <si>
    <t>Evaluation des facteurs d'entretien</t>
  </si>
  <si>
    <t>Désir de maigrir</t>
  </si>
  <si>
    <t>Critiques/ corps</t>
  </si>
  <si>
    <t>Restrictions</t>
  </si>
  <si>
    <t>Orthorexie</t>
  </si>
  <si>
    <t>Anxiété</t>
  </si>
  <si>
    <t>Impulsivité</t>
  </si>
  <si>
    <t>Hypercontrôle</t>
  </si>
  <si>
    <t>Vie sociale</t>
  </si>
  <si>
    <t>Evit. Maturité</t>
  </si>
  <si>
    <t>Vous trouverez ci-dessous une série d'affirmations permettant de préciser les éventuels facteurs qui peuvent favoriser le maintien de votre trouble des conduites alimentaires. Répondez, s'il vous plait, à toutes les lignes. Choisissez la réponse la plus vraie pour vous en ce moment.</t>
  </si>
  <si>
    <t>Toute prise de poids est inacceptable pour moi.</t>
  </si>
  <si>
    <t>J’ai plus de chance de plaire aux autres en perdant du poids</t>
  </si>
  <si>
    <t>En perdant du poids je me plairai plus à moi-même</t>
  </si>
  <si>
    <t>L’idée de perdre du poids est une préoccupation majeure pour moi</t>
  </si>
  <si>
    <t>Quand je perds du poids c’est une réussite et j’en suis fière</t>
  </si>
  <si>
    <t>Ma valeur personnelle dépend du fait d’être plus mince</t>
  </si>
  <si>
    <t>Critiques envers le corps</t>
  </si>
  <si>
    <t>Attitudes critiques envers le corps</t>
  </si>
  <si>
    <t>Je devrais avoir moins de graisse et plus de muscle</t>
  </si>
  <si>
    <t>Je déteste ma silhouette</t>
  </si>
  <si>
    <t>Facteurs d'entretien</t>
  </si>
  <si>
    <t>Je déteste certaines parties de mon corps</t>
  </si>
  <si>
    <t>Je passe du temps à observer et à critiquer mon corps</t>
  </si>
  <si>
    <t>Je me compare aux autres constamment</t>
  </si>
  <si>
    <t>J’ai honte de mon corps</t>
  </si>
  <si>
    <t>Restrictions alimentaires</t>
  </si>
  <si>
    <t>J’évite les aliments qui risquent de me faire grossir (gras, sucrés,…)</t>
  </si>
  <si>
    <t>J’essaie de manger moins que les autres</t>
  </si>
  <si>
    <t>Je saute régulièrement des repas ou des collations</t>
  </si>
  <si>
    <t>Je choisis de préférence les aliments les plus légers</t>
  </si>
  <si>
    <t>J’éprouve de la culpabilité après les repas</t>
  </si>
  <si>
    <t>Je ne mange pas à la même vitesse que tout le monde</t>
  </si>
  <si>
    <t>Orthorexie (tendance à adopter des règles alimentaires strictes)</t>
  </si>
  <si>
    <t>Je dois tout faire parfaitement</t>
  </si>
  <si>
    <t>Je suis plus exigent(e) pour moi que pour les autres</t>
  </si>
  <si>
    <t>Je dois être irréprochable</t>
  </si>
  <si>
    <t>J’ai toujours besoin de faire plus ou mieux</t>
  </si>
  <si>
    <t>Je consacre beaucoup d’énergie et de temps pour faire les choses bien</t>
  </si>
  <si>
    <t>Je me sens en permanence triste et déprimé(e)</t>
  </si>
  <si>
    <t>Je fuis les contacts, même ceux que je trouvais agréables auparavant</t>
  </si>
  <si>
    <t>Je ne crois pas que les choses iront mieux dans l’avenir</t>
  </si>
  <si>
    <t>J’ai perdu tout élan</t>
  </si>
  <si>
    <t>J’ai envie de mourir</t>
  </si>
  <si>
    <t>Tempérament anxieux</t>
  </si>
  <si>
    <t>Dépression (sur les 15 derniers jours)</t>
  </si>
  <si>
    <t>Je suis quelqu’un de plus anxieux que la plupart des gens</t>
  </si>
  <si>
    <t>Je me prémunis en permanence contre les catastrophes éventuelles</t>
  </si>
  <si>
    <t>Si je n’y prends garde, je peux être responsable d’une erreur grave</t>
  </si>
  <si>
    <t>Je suis tendu(e) en permanence</t>
  </si>
  <si>
    <t>Je panique facilement</t>
  </si>
  <si>
    <t>Les gens me trouvent nerveux(se)</t>
  </si>
  <si>
    <t>J’ai des coups de tête</t>
  </si>
  <si>
    <t>J’ai besoin d’émotions fortes</t>
  </si>
  <si>
    <t>Je suis casse-cou, j’aime prendre des risques</t>
  </si>
  <si>
    <t>Je ne vais pas au bout des choses, je me lasse facilement</t>
  </si>
  <si>
    <t>Je me laisse facilement surprendre par les événements</t>
  </si>
  <si>
    <t>Je résiste mal à mes impulsions</t>
  </si>
  <si>
    <t>Je ne dois pas me laisser déborder par mes émotions</t>
  </si>
  <si>
    <t>Je dois garder le contrôle de mes actes</t>
  </si>
  <si>
    <t>Je suis paniqué(e) à l’idée de lâcher-prise, dans tous les domaines</t>
  </si>
  <si>
    <t>Mon entourage me reproche d’être trop directif(ve)</t>
  </si>
  <si>
    <t>Je suis contrarié(e) par les imprévus</t>
  </si>
  <si>
    <t>Manque d'affirmation de soi</t>
  </si>
  <si>
    <t>J’ai de la peine à faire valoir mes droits, mes besoins ou mes idées  auprès des autres</t>
  </si>
  <si>
    <t>Je suis timide</t>
  </si>
  <si>
    <t>Les besoins et les désirs des autres passent avant les miens</t>
  </si>
  <si>
    <t>Je préfère me mettre en retrait plutôt que de risquer un conflit</t>
  </si>
  <si>
    <t>Vie sociale et relationnelle</t>
  </si>
  <si>
    <t>J’ai de la peine à trouver ma place dans la société</t>
  </si>
  <si>
    <t>Je ne me sens pas utile pour les autres</t>
  </si>
  <si>
    <t>Je me sens différent(e)</t>
  </si>
  <si>
    <t>Faible estime de soi</t>
  </si>
  <si>
    <t>Je suis nul(le) et sans valeur</t>
  </si>
  <si>
    <t>Je n'ai pas de raisons d'être fier (fière) de moi</t>
  </si>
  <si>
    <t>J’ai du mal à me trouver des qualités ou des compétences</t>
  </si>
  <si>
    <t>Les autres sont mieux que moi</t>
  </si>
  <si>
    <t>J’ai souvent honte de moi</t>
  </si>
  <si>
    <t>Je me sens souvent en échec dans ce que j’entreprends</t>
  </si>
  <si>
    <t>Evitement de la maturité</t>
  </si>
  <si>
    <t>J’ai besoin qu’on me rassure et qu’on me protège</t>
  </si>
  <si>
    <t>Je fuis les responsabilités</t>
  </si>
  <si>
    <t>Avoir un corps d’adulte me déplaît</t>
  </si>
  <si>
    <t>Je ne me vois pas avoir des enfants</t>
  </si>
  <si>
    <t>Je suis incapable d’être autonome</t>
  </si>
  <si>
    <t>Motivation envers les soins</t>
  </si>
  <si>
    <t>Si je le pouvais, je préfèrerais m’y engager plus tard</t>
  </si>
  <si>
    <t>Je n’ai pas le sentiment qu’il soit nécessaire de me soigner</t>
  </si>
  <si>
    <t>Me soigner n’améliorera pas ma qualité de vie</t>
  </si>
  <si>
    <t>Je me sens incapable de faire ce qu’il faut pour guérir de ce trouble</t>
  </si>
  <si>
    <t>Je n’adhère pas aux principes du traitement qui m’est proposé</t>
  </si>
  <si>
    <t>Je ne me sens pas assez en confiance avec ce(s) soignant(s)</t>
  </si>
  <si>
    <t>Ne me correspond pas du tout</t>
  </si>
  <si>
    <t>Me correspond un peu</t>
  </si>
  <si>
    <t>Me correspond moyennement</t>
  </si>
  <si>
    <t>Me correspond beaucoup</t>
  </si>
  <si>
    <t>Me correspond tout à fait</t>
  </si>
  <si>
    <t>Evitment de la maturité</t>
  </si>
  <si>
    <t>Manque de motivation</t>
  </si>
  <si>
    <t>Estime faible</t>
  </si>
  <si>
    <t>Réticence</t>
  </si>
  <si>
    <t>Quelle serait la silhouette idéale pour vous, celle que vous aimeriez avoir ?</t>
  </si>
  <si>
    <t>Quelle est, d'après vous, la silhouette correspondant le mieux à celle des personnes de votre âge ?</t>
  </si>
  <si>
    <t>Test des silhouettes</t>
  </si>
  <si>
    <t>Silhouette perçue</t>
  </si>
  <si>
    <t>Silhouette idéale</t>
  </si>
  <si>
    <t>Silhouette moyenne</t>
  </si>
  <si>
    <t>Considérez-vous que votre poids et/ou votre silhouette influencent votre estime personnelle et l'image qu'on a de vous ?</t>
  </si>
  <si>
    <t>Je fonctionne en tout ou rien</t>
  </si>
  <si>
    <t>Je ne prends plus aucun plaisir à rien</t>
  </si>
  <si>
    <t>Je ne dois pas être esclave de mes envies et de mes besoins</t>
  </si>
  <si>
    <t>Après avoir regardé ces silhouettes, répondez aux questions ci-dessous en déplaçant les 3 curseurs vers les positions correspondant le mieux à votre appréciation.</t>
  </si>
  <si>
    <t xml:space="preserve"> Dates de passation des questionnaires et diagnostics probables</t>
  </si>
  <si>
    <t>Être mince fait paraître plus jeune</t>
  </si>
  <si>
    <t>Questionnaire d'évaluation de l'anorexie</t>
  </si>
  <si>
    <t>Hospitalisation</t>
  </si>
  <si>
    <t>kg</t>
  </si>
  <si>
    <t>Valeur seuil de l'anorexie pour vous :</t>
  </si>
  <si>
    <t>Avez-vous le désir de maintenir votre poids en dessous de sa valeur minimale normale (Cf. encadré ci-dessus) ?</t>
  </si>
  <si>
    <t>Vous arrive-t-il de recourir à des vomissements pour ne pas prendre de poids ?</t>
  </si>
  <si>
    <t>Vous arrive-t-il de recourir à des laxatifs pour ne pas prendre de poids ?</t>
  </si>
  <si>
    <t>Vous arrive-t-il de recourir à des diurétiques pour ne pas prendre de poids ?</t>
  </si>
  <si>
    <t>Quel est l'impact sur votre tube digestif (douleur, constipation, diarrhées, etc.) ?</t>
  </si>
  <si>
    <t>Quel est l'impact sur votre sensation de fatigue physique ?</t>
  </si>
  <si>
    <t>Ce trouble alimentaire a-t-il augmenté votre niveau d'anxiété ?</t>
  </si>
  <si>
    <t>Ce trouble a-t-il un effet négatif sur votre estime personnelle ?</t>
  </si>
  <si>
    <t>Oui, considérablement</t>
  </si>
  <si>
    <r>
      <t>Sur une échelle de 0 à 10, à combien estimez-vous la souffrance que vous occasionnent ces troubles avec:</t>
    </r>
    <r>
      <rPr>
        <sz val="10"/>
        <rFont val="Arial"/>
        <family val="2"/>
      </rPr>
      <t xml:space="preserve"> 0 = pas du tout de souffrance; 10 = une souffrance extrême</t>
    </r>
    <r>
      <rPr>
        <sz val="12"/>
        <rFont val="Arial"/>
        <family val="2"/>
      </rPr>
      <t>.</t>
    </r>
  </si>
  <si>
    <t>Mon poids est à ce seuil</t>
  </si>
  <si>
    <t>Ce trouble vous rend-t-il irritable?</t>
  </si>
  <si>
    <t>Ce trouble altère-t-il votre capacité à vous concentrer dans vos activités?</t>
  </si>
  <si>
    <t>Quel est l'impact du trouble sur l'état de vos cheveux, votre peau et/ou vos ongles ?</t>
  </si>
  <si>
    <t>A cause de ce trouble, vous arrive-t-il de prendre de l'alcool, des drogues ou des médicaments non prescrits?</t>
  </si>
  <si>
    <t>Ce trouble vous empêche-t-il de travailler?</t>
  </si>
  <si>
    <t>Ce trouble vous empêche-t-il de poursuivre des activités qui vous plaisaient avant ?</t>
  </si>
  <si>
    <t>Evaluation diag et impact BN</t>
  </si>
  <si>
    <t>Evaluation diag et impact AM</t>
  </si>
  <si>
    <t>seuil AM</t>
  </si>
  <si>
    <t>contrôle pds</t>
  </si>
  <si>
    <t>évitement prise pds</t>
  </si>
  <si>
    <t>repas</t>
  </si>
  <si>
    <t>sport</t>
  </si>
  <si>
    <t>phanères</t>
  </si>
  <si>
    <t>fatigue</t>
  </si>
  <si>
    <t>estime perso</t>
  </si>
  <si>
    <t>activités</t>
  </si>
  <si>
    <t>amis</t>
  </si>
  <si>
    <t>souffrance</t>
  </si>
  <si>
    <t>Quel est l'impact sur votre sexualité ?</t>
  </si>
  <si>
    <t>Ce trouble nuit-il à vos relations avec les membres de votre famille (parents, enfants ou proches)?</t>
  </si>
  <si>
    <t>Ce trouble nuit-il à vos relations avec vos ami(e)s?</t>
  </si>
  <si>
    <t>Ce trouble nuit-il à votre vie amoureuse?</t>
  </si>
  <si>
    <t>Faites-vous, ou avez-vous fait dans le passé, beaucoup d'efforts pour perdre du poids ou ne pas en prendre ?</t>
  </si>
  <si>
    <t>Votre poids actuel est-il égal ou inférieur à la valeur seuil de l'anorexie (Cf. encadré ci-dessus) ?</t>
  </si>
  <si>
    <t>Souvent (au moins deux fois par semaine)</t>
  </si>
  <si>
    <t>Parfois (moins d'une heure par semaine)</t>
  </si>
  <si>
    <t>Souvent (1 à 6 heures par semaine)</t>
  </si>
  <si>
    <t>Quotidiennement (une heure par jour)</t>
  </si>
  <si>
    <t>Fréquemment (plus d'une heure par jour)</t>
  </si>
  <si>
    <t>Modeste (moins d'intérêt pour la sexualité)</t>
  </si>
  <si>
    <t>Important (peu d'intérêt pour la sexualité)</t>
  </si>
  <si>
    <t>Considérable (aucun intérêt pour la sexualité)</t>
  </si>
  <si>
    <t>sexualité</t>
  </si>
  <si>
    <t>Ce trouble alimentaire affecte-t-il votre moral ?</t>
  </si>
  <si>
    <t>sociale</t>
  </si>
  <si>
    <t>Quotidiennement (une fois par jour ou plus)</t>
  </si>
  <si>
    <t>Parfois (une à deux fois par semaine)</t>
  </si>
  <si>
    <t>Rarement (moins d'une fois par semaine)</t>
  </si>
  <si>
    <t>Quel est l'impact du trouble sur votre sexualité ?</t>
  </si>
  <si>
    <t>Médiane</t>
  </si>
  <si>
    <t>Mini Normal</t>
  </si>
  <si>
    <t>Hospit</t>
  </si>
  <si>
    <t>Je sélectionne soigneusement les aliments bons pour ma santé (Bio, sans OGM, sans conservateur, …)</t>
  </si>
  <si>
    <t>J’attribue à certains aliments des vertus essentielles (anti-oxydant, riches en vitamines et/ou oligo-éléments, …)</t>
  </si>
  <si>
    <t>Ma santé dépend beaucoup de ce que je mange</t>
  </si>
  <si>
    <t>J'encourage mes proches à manger sainement</t>
  </si>
  <si>
    <t>Il est indispensable d'équilibrer chaque repas</t>
  </si>
  <si>
    <t>Quand je choisis mes aliments, je suis attentif(-ive) à leur origine, leur mode de fabrication et de commercialisation</t>
  </si>
  <si>
    <t>Inhibition</t>
  </si>
  <si>
    <t>Je dois plaire à tout le monde</t>
  </si>
  <si>
    <t>Je n'aime pas parler de moi</t>
  </si>
  <si>
    <t>Je souffre d'avoir peu ou pas d’ami(e)s intimes</t>
  </si>
  <si>
    <t>Je ne me sens pas en sécurité dans mes relations avec les autres</t>
  </si>
  <si>
    <t>J'accorde difficilement ma confiance</t>
  </si>
  <si>
    <t>Pour information</t>
  </si>
  <si>
    <t>Votre poids minimum normal est proche de :</t>
  </si>
  <si>
    <t>BN</t>
  </si>
  <si>
    <t>AN</t>
  </si>
  <si>
    <t>Min Norme</t>
  </si>
  <si>
    <t>J'aime beaucoup</t>
  </si>
  <si>
    <t>J'aime bien</t>
  </si>
  <si>
    <t>J'aime un peu</t>
  </si>
  <si>
    <t>Je n'aime pas vraiment</t>
  </si>
  <si>
    <t>Je n'aime pas</t>
  </si>
  <si>
    <t>Je déteste</t>
  </si>
  <si>
    <t>Ma silhouette générale</t>
  </si>
  <si>
    <t>Mes cheveux</t>
  </si>
  <si>
    <t>Mon visage</t>
  </si>
  <si>
    <t>Mes yeux</t>
  </si>
  <si>
    <t>Mon nez</t>
  </si>
  <si>
    <t>Ma bouche</t>
  </si>
  <si>
    <t>Mon cou</t>
  </si>
  <si>
    <t>Mes épaules</t>
  </si>
  <si>
    <t>Mes bras</t>
  </si>
  <si>
    <t>Mes avant-bras</t>
  </si>
  <si>
    <t>Mes mains</t>
  </si>
  <si>
    <t>Mon dos</t>
  </si>
  <si>
    <t>Mes hanches</t>
  </si>
  <si>
    <t>Mon ventre</t>
  </si>
  <si>
    <t>Mes fesses</t>
  </si>
  <si>
    <t>Mes cuisses</t>
  </si>
  <si>
    <t>Mes genoux</t>
  </si>
  <si>
    <t>Mes mollets</t>
  </si>
  <si>
    <t>Mes pieds</t>
  </si>
  <si>
    <t>L'aspect de ma peau</t>
  </si>
  <si>
    <t>Ma musculature</t>
  </si>
  <si>
    <t>MOYENNE</t>
  </si>
  <si>
    <t>Silhouette</t>
  </si>
  <si>
    <t>Cheveux</t>
  </si>
  <si>
    <t>Visage</t>
  </si>
  <si>
    <t>Yeux</t>
  </si>
  <si>
    <t>Nez</t>
  </si>
  <si>
    <t>Bouche</t>
  </si>
  <si>
    <t>Cou</t>
  </si>
  <si>
    <t>Epaules</t>
  </si>
  <si>
    <t>Bras</t>
  </si>
  <si>
    <t>Avant-bras</t>
  </si>
  <si>
    <t>Mains</t>
  </si>
  <si>
    <t>Dos</t>
  </si>
  <si>
    <t>Hanches</t>
  </si>
  <si>
    <t>Ventre</t>
  </si>
  <si>
    <t>Fesses</t>
  </si>
  <si>
    <t>Cuisses</t>
  </si>
  <si>
    <t>Genoux</t>
  </si>
  <si>
    <t>Mollets</t>
  </si>
  <si>
    <t>Pieds</t>
  </si>
  <si>
    <t>Peau</t>
  </si>
  <si>
    <t>Musculature</t>
  </si>
  <si>
    <t>Valence</t>
  </si>
  <si>
    <t>Importance</t>
  </si>
  <si>
    <t>Ma poitrine</t>
  </si>
  <si>
    <t>Poitrine</t>
  </si>
  <si>
    <t>Données médicales</t>
  </si>
  <si>
    <t>Nom</t>
  </si>
  <si>
    <t>Médecin (MG)</t>
  </si>
  <si>
    <t>Adresse</t>
  </si>
  <si>
    <t>Médicaux</t>
  </si>
  <si>
    <t>Chirurgicaux</t>
  </si>
  <si>
    <t>Allergies</t>
  </si>
  <si>
    <t>Psy</t>
  </si>
  <si>
    <t>Traitement actuel</t>
  </si>
  <si>
    <t>Psychiatre</t>
  </si>
  <si>
    <t>Psychothérapeute</t>
  </si>
  <si>
    <t>Coach</t>
  </si>
  <si>
    <t>Moins de 1 par semaine</t>
  </si>
  <si>
    <t>De 1 à 3 par semaine</t>
  </si>
  <si>
    <t>Nul (ou ne me concerne pas)</t>
  </si>
  <si>
    <t xml:space="preserve">Non concerné(e) </t>
  </si>
  <si>
    <t>grossir</t>
  </si>
  <si>
    <t>Normes</t>
  </si>
  <si>
    <t>Dépense énergétique de repos</t>
  </si>
  <si>
    <t>Formule de Harris-Benedict</t>
  </si>
  <si>
    <t xml:space="preserve"> kg</t>
  </si>
  <si>
    <t>Questionnaire d'évaluation de la boulimie et des accès hyperphagiques</t>
  </si>
  <si>
    <t>age</t>
  </si>
  <si>
    <t>coefficient</t>
  </si>
  <si>
    <t xml:space="preserve">Poids </t>
  </si>
  <si>
    <t>Code ou identifiant</t>
  </si>
  <si>
    <t>xx/xx/xx</t>
  </si>
  <si>
    <t>Entrer le poids de ce jour</t>
  </si>
  <si>
    <t xml:space="preserve">  Modifier la date</t>
  </si>
  <si>
    <t>Féminin</t>
  </si>
  <si>
    <t>Masculin</t>
  </si>
  <si>
    <t xml:space="preserve">  Date</t>
  </si>
  <si>
    <t>F 50</t>
  </si>
  <si>
    <t>Date initiale</t>
  </si>
  <si>
    <t>Vous trouverez ci-dessous une série de questions permettant de préciser le diagnostic  et l'intensité du trouble des conduites alimentaires dont vous souffrez. Il évalue aussi son   impact sur votre vie quotidienne. Choisissez la réponse vous paraissant la plus adaptée  pour la période des 15 derniers jours.</t>
  </si>
  <si>
    <t>m</t>
  </si>
  <si>
    <t>Image du corps</t>
  </si>
  <si>
    <t>Cocher pour chaque ligne la case correspondant le mieux à votre appréciation personnelle de votre image corporelle et notez de 1 à 6 l'importance que vous y attachez.</t>
  </si>
  <si>
    <t>Seuil pathologique</t>
  </si>
  <si>
    <t>Maigreur sévère</t>
  </si>
  <si>
    <t>Vrai maintenant et quand j'étais jeune</t>
  </si>
  <si>
    <t>Vrai seulement maintenant</t>
  </si>
  <si>
    <t>Vrai seulement avant mes 16 ans</t>
  </si>
  <si>
    <t>Jamais vrai</t>
  </si>
  <si>
    <t>RAADS-14</t>
  </si>
  <si>
    <t>les réponses sont à choisir dans la liste suivante:</t>
  </si>
  <si>
    <t>"Vrai maintenant et quand j'étais jeune"</t>
  </si>
  <si>
    <t>"Vrai seulement maintenant" (fait référence aux compétences acquises)</t>
  </si>
  <si>
    <t>"Vrai seulement avant mes 16 ans"</t>
  </si>
  <si>
    <t>"Jamais vrai"</t>
  </si>
  <si>
    <t>Choisir la réponse qui correspond le mieux à ce que dit le sujet</t>
  </si>
  <si>
    <t>Il m'est difficile de comprendre comment les autres se sentent quand nous parlons.</t>
  </si>
  <si>
    <t>Certaines textures ordinaires qui ne dérangent pas les autres semblent très offensives quand elles touchent ma peau.</t>
  </si>
  <si>
    <t>Il m'est très difficile de travailler et de fonctionner en groupes.</t>
  </si>
  <si>
    <t>Je ne sais souvent pas comment agir dans des situations sociales.</t>
  </si>
  <si>
    <t>Je peux discuter et faire la conversation avec les gens.</t>
  </si>
  <si>
    <t>Quand je me sens submergé(e) par mes sens, je dois m'isoler pour me calmer.</t>
  </si>
  <si>
    <t>Lorsque je parle à quelqu'un, j'ai du mal à savoir quand c'est à mon tour de parler ou d'écouter.</t>
  </si>
  <si>
    <t>Parfois, je dois me boucher les oreilles pour bloquer les bruits douloureux (comme le bruit d'un aspirateur ou de gens qui parlent trop ou trop fort).</t>
  </si>
  <si>
    <t>Il peut être très difficile de lire les mouvements du visage, de la main et du corps de quelqu'un lorsque nous parlons.</t>
  </si>
  <si>
    <t>Je me concentre sur les détails plutôt que sur l'idée générale.</t>
  </si>
  <si>
    <t>Je prends les choses trop à la lettre, de sorte que je rate souvent ce que les gens essaient de dire.</t>
  </si>
  <si>
    <t>Je deviens très contrarié(e) quand la façon dont j'aime faire les choses est soudainement changée.</t>
  </si>
  <si>
    <t>Score:</t>
  </si>
  <si>
    <t>Il m'est difficile de comprendre ce que les autres attendent de moi.</t>
  </si>
  <si>
    <t>Comment me faire des amis et me socialiser est un mystère pour moi.</t>
  </si>
  <si>
    <t>Ce questionnaire est conçu comme un entretien semi-dirigé</t>
  </si>
  <si>
    <t>Variation du poids sur 4 semaines :</t>
  </si>
  <si>
    <t>modifier si nécessaire</t>
  </si>
  <si>
    <t>Anorexie mentale restrictive IMC faible (6B80.00)</t>
  </si>
  <si>
    <t>Anorexie mentale restrictive IMC &lt; 14,0 (6B80.10)</t>
  </si>
  <si>
    <t>Anorexie mentale en rémission IMC &gt; 18,5 (6B80.2)</t>
  </si>
  <si>
    <t>Anorexie mentale non spécifiée (6B80.Z)</t>
  </si>
  <si>
    <t>Boulimie (6B81)</t>
  </si>
  <si>
    <t>Accès hyperphagiques (6B82)</t>
  </si>
  <si>
    <t>Syndrome d'alimentation nocturne (6B8Y)</t>
  </si>
  <si>
    <t>Trouble purgatif (6B8Y)</t>
  </si>
  <si>
    <t>Restriction/évitement de l'ingestion d'aliments (6B83)</t>
  </si>
  <si>
    <t>Pica (6B84)</t>
  </si>
  <si>
    <t>Mérycisme (6B85)</t>
  </si>
  <si>
    <t>Autre TCA non spécifié (6B8Z)</t>
  </si>
  <si>
    <t>Anorexie mentale avec crises/purges IMC faible (6B80.01)</t>
  </si>
  <si>
    <t>Anorexie mentale avec crises/purges IMC &lt; 14,0 (6B80.11)</t>
  </si>
  <si>
    <t xml:space="preserve">  </t>
  </si>
  <si>
    <t>Maigreur extrême</t>
  </si>
  <si>
    <t>inférieure:</t>
  </si>
  <si>
    <t>supérieure:</t>
  </si>
  <si>
    <t>Modifier les limites du graphique :</t>
  </si>
  <si>
    <t>Quelle silhouette vous semble la plus proche de la vôtre ?</t>
  </si>
  <si>
    <t>An modérée</t>
  </si>
  <si>
    <t>An sévère</t>
  </si>
  <si>
    <t>An extrême</t>
  </si>
  <si>
    <t>sévérité</t>
  </si>
  <si>
    <t>Limite inf.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</si>
</sst>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F800]dddd\,\ mmmm\ dd\,\ yyyy"/>
    <numFmt numFmtId="165" formatCode="0.000"/>
    <numFmt numFmtId="166" formatCode="d\ mmmm\ yyyy"/>
    <numFmt numFmtId="167" formatCode="d/m"/>
    <numFmt numFmtId="168" formatCode="0.0"/>
    <numFmt numFmtId="169" formatCode="dd/mm/yy;@"/>
    <numFmt numFmtId="170" formatCode="[$-40C]d\ mmmm\ yyyy;@"/>
    <numFmt numFmtId="171" formatCode="[$-40C]d\-mmm\-yy;@"/>
    <numFmt numFmtId="172" formatCode="dd\.mm\.yy;@"/>
    <numFmt numFmtId="173" formatCode="d\.m\.yyyy;@"/>
  </numFmts>
  <fonts count="118">
    <font>
      <sz val="10"/>
      <name val="Arial"/>
    </font>
    <font>
      <sz val="10"/>
      <name val="Arial"/>
      <family val="2"/>
    </font>
    <font>
      <sz val="10"/>
      <name val="Arial"/>
      <family val="2"/>
    </font>
    <font>
      <b/>
      <u/>
      <sz val="10"/>
      <name val="Arial"/>
      <family val="2"/>
    </font>
    <font>
      <b/>
      <sz val="10"/>
      <name val="Arial"/>
      <family val="2"/>
    </font>
    <font>
      <b/>
      <sz val="12"/>
      <name val="Techno"/>
    </font>
    <font>
      <b/>
      <sz val="11"/>
      <name val="Arial"/>
      <family val="2"/>
    </font>
    <font>
      <sz val="8"/>
      <name val="Arial"/>
      <family val="2"/>
    </font>
    <font>
      <sz val="12"/>
      <name val="Arial"/>
      <family val="2"/>
    </font>
    <font>
      <b/>
      <sz val="12"/>
      <name val="Arial"/>
      <family val="2"/>
    </font>
    <font>
      <b/>
      <sz val="10"/>
      <name val="Arial"/>
      <family val="2"/>
    </font>
    <font>
      <sz val="12"/>
      <name val="Times"/>
      <family val="1"/>
    </font>
    <font>
      <b/>
      <sz val="12"/>
      <name val="Times"/>
      <family val="1"/>
    </font>
    <font>
      <b/>
      <sz val="12"/>
      <name val="Times-Bold"/>
    </font>
    <font>
      <b/>
      <sz val="14"/>
      <name val="Arial"/>
      <family val="2"/>
    </font>
    <font>
      <sz val="10"/>
      <name val="Times"/>
      <family val="1"/>
    </font>
    <font>
      <sz val="12"/>
      <name val="Times-Bold"/>
    </font>
    <font>
      <sz val="18"/>
      <name val="Arial"/>
      <family val="2"/>
    </font>
    <font>
      <sz val="14"/>
      <name val="Arial"/>
      <family val="2"/>
    </font>
    <font>
      <sz val="10"/>
      <color indexed="10"/>
      <name val="Arial"/>
      <family val="2"/>
    </font>
    <font>
      <sz val="10"/>
      <color indexed="9"/>
      <name val="Arial"/>
      <family val="2"/>
    </font>
    <font>
      <sz val="10"/>
      <color indexed="17"/>
      <name val="Arial"/>
      <family val="2"/>
    </font>
    <font>
      <sz val="10"/>
      <color indexed="18"/>
      <name val="Arial"/>
      <family val="2"/>
    </font>
    <font>
      <sz val="10"/>
      <color indexed="62"/>
      <name val="Arial"/>
      <family val="2"/>
    </font>
    <font>
      <b/>
      <sz val="14"/>
      <name val="Tahoma"/>
      <family val="2"/>
    </font>
    <font>
      <b/>
      <sz val="20"/>
      <name val="Times New Roman"/>
      <family val="1"/>
    </font>
    <font>
      <b/>
      <sz val="11"/>
      <color indexed="62"/>
      <name val="Arial"/>
      <family val="2"/>
    </font>
    <font>
      <b/>
      <sz val="11"/>
      <color indexed="60"/>
      <name val="Arial"/>
      <family val="2"/>
    </font>
    <font>
      <sz val="8"/>
      <name val="Arial"/>
      <family val="2"/>
    </font>
    <font>
      <sz val="8"/>
      <name val="Calibri"/>
      <family val="2"/>
    </font>
    <font>
      <sz val="8"/>
      <name val="Calibri"/>
      <family val="2"/>
    </font>
    <font>
      <sz val="10"/>
      <name val="Wingdings 2"/>
      <family val="1"/>
      <charset val="2"/>
    </font>
    <font>
      <i/>
      <sz val="10"/>
      <name val="Arial"/>
      <family val="2"/>
    </font>
    <font>
      <sz val="22"/>
      <color indexed="9"/>
      <name val="Arial"/>
      <family val="2"/>
    </font>
    <font>
      <sz val="20"/>
      <name val="Arial"/>
      <family val="2"/>
    </font>
    <font>
      <sz val="10"/>
      <color indexed="42"/>
      <name val="Arial"/>
      <family val="2"/>
    </font>
    <font>
      <sz val="8"/>
      <name val="Arial"/>
      <family val="2"/>
    </font>
    <font>
      <sz val="10"/>
      <color indexed="9"/>
      <name val="Arial"/>
      <family val="2"/>
    </font>
    <font>
      <b/>
      <sz val="12"/>
      <color indexed="9"/>
      <name val="Arial"/>
      <family val="2"/>
    </font>
    <font>
      <sz val="11"/>
      <name val="Arial"/>
      <family val="2"/>
    </font>
    <font>
      <b/>
      <i/>
      <sz val="12"/>
      <color rgb="FFFF0000"/>
      <name val="Arial"/>
      <family val="2"/>
    </font>
    <font>
      <b/>
      <sz val="10"/>
      <color rgb="FFFF0000"/>
      <name val="Arial"/>
      <family val="2"/>
    </font>
    <font>
      <b/>
      <sz val="12"/>
      <color rgb="FFFF0000"/>
      <name val="Arial"/>
      <family val="2"/>
    </font>
    <font>
      <b/>
      <i/>
      <sz val="14"/>
      <color rgb="FF993300"/>
      <name val="Arial"/>
      <family val="2"/>
    </font>
    <font>
      <b/>
      <i/>
      <sz val="12"/>
      <color rgb="FF339966"/>
      <name val="Arial"/>
      <family val="2"/>
    </font>
    <font>
      <sz val="10"/>
      <color rgb="FF000000"/>
      <name val="Arial"/>
      <family val="2"/>
    </font>
    <font>
      <b/>
      <sz val="18"/>
      <color rgb="FFFF0000"/>
      <name val="Arial"/>
      <family val="2"/>
    </font>
    <font>
      <b/>
      <sz val="16"/>
      <color rgb="FFFF0000"/>
      <name val="Arial"/>
      <family val="2"/>
    </font>
    <font>
      <sz val="14"/>
      <color rgb="FF0000FF"/>
      <name val="Arial"/>
      <family val="2"/>
    </font>
    <font>
      <sz val="14"/>
      <color rgb="FFFF0000"/>
      <name val="Arial"/>
      <family val="2"/>
    </font>
    <font>
      <b/>
      <sz val="12"/>
      <name val="Tahoma"/>
      <family val="2"/>
    </font>
    <font>
      <b/>
      <sz val="12"/>
      <color rgb="FF0000FF"/>
      <name val="Arial"/>
      <family val="2"/>
    </font>
    <font>
      <b/>
      <sz val="12"/>
      <color theme="0"/>
      <name val="Arial"/>
      <family val="2"/>
    </font>
    <font>
      <sz val="10"/>
      <color theme="0"/>
      <name val="Arial"/>
      <family val="2"/>
    </font>
    <font>
      <b/>
      <sz val="20"/>
      <name val="Arial"/>
      <family val="2"/>
    </font>
    <font>
      <sz val="10"/>
      <color theme="0" tint="-0.499984740745262"/>
      <name val="Arial"/>
      <family val="2"/>
    </font>
    <font>
      <b/>
      <sz val="12"/>
      <color theme="0" tint="-0.499984740745262"/>
      <name val="Arial"/>
      <family val="2"/>
    </font>
    <font>
      <sz val="10"/>
      <color rgb="FFFF0000"/>
      <name val="Arial"/>
      <family val="2"/>
    </font>
    <font>
      <b/>
      <sz val="12"/>
      <color rgb="FF008000"/>
      <name val="Arial"/>
      <family val="2"/>
    </font>
    <font>
      <sz val="10"/>
      <color theme="1" tint="0.499984740745262"/>
      <name val="Arial"/>
      <family val="2"/>
    </font>
    <font>
      <b/>
      <sz val="11"/>
      <color theme="0"/>
      <name val="Calibri"/>
      <family val="2"/>
      <scheme val="minor"/>
    </font>
    <font>
      <b/>
      <sz val="11"/>
      <color theme="1"/>
      <name val="Calibri"/>
      <family val="2"/>
      <scheme val="minor"/>
    </font>
    <font>
      <sz val="11"/>
      <color theme="0"/>
      <name val="Calibri"/>
      <family val="2"/>
      <scheme val="minor"/>
    </font>
    <font>
      <sz val="20"/>
      <color theme="1"/>
      <name val="Calibri"/>
      <family val="2"/>
      <scheme val="minor"/>
    </font>
    <font>
      <b/>
      <sz val="20"/>
      <color theme="1"/>
      <name val="Calibri"/>
      <family val="2"/>
      <scheme val="minor"/>
    </font>
    <font>
      <sz val="20"/>
      <color theme="0"/>
      <name val="Calibri"/>
      <family val="2"/>
      <scheme val="minor"/>
    </font>
    <font>
      <sz val="20"/>
      <color rgb="FFFF0000"/>
      <name val="Calibri"/>
      <family val="2"/>
      <scheme val="minor"/>
    </font>
    <font>
      <sz val="11"/>
      <color theme="2"/>
      <name val="Calibri"/>
      <family val="2"/>
      <scheme val="minor"/>
    </font>
    <font>
      <sz val="16"/>
      <name val="Arial"/>
      <family val="2"/>
    </font>
    <font>
      <sz val="10"/>
      <color theme="2"/>
      <name val="Arial"/>
      <family val="2"/>
    </font>
    <font>
      <sz val="20"/>
      <color rgb="FF000000"/>
      <name val="Arial"/>
      <family val="2"/>
    </font>
    <font>
      <sz val="16"/>
      <color rgb="FF000000"/>
      <name val="Arial"/>
      <family val="2"/>
    </font>
    <font>
      <sz val="10"/>
      <color theme="3" tint="0.79998168889431442"/>
      <name val="Arial"/>
      <family val="2"/>
    </font>
    <font>
      <sz val="18"/>
      <color rgb="FF000000"/>
      <name val="Arial"/>
      <family val="2"/>
    </font>
    <font>
      <b/>
      <i/>
      <sz val="14"/>
      <name val="Arial"/>
      <family val="2"/>
    </font>
    <font>
      <sz val="10"/>
      <name val="Arial"/>
      <family val="2"/>
    </font>
    <font>
      <sz val="10"/>
      <color theme="0" tint="-0.249977111117893"/>
      <name val="Arial"/>
      <family val="2"/>
    </font>
    <font>
      <sz val="14"/>
      <color indexed="26"/>
      <name val="Arial"/>
      <family val="2"/>
    </font>
    <font>
      <b/>
      <sz val="12"/>
      <name val="Arial"/>
      <family val="2"/>
    </font>
    <font>
      <sz val="18"/>
      <name val="Arial"/>
      <family val="2"/>
    </font>
    <font>
      <b/>
      <sz val="14"/>
      <name val="Arial"/>
      <family val="2"/>
    </font>
    <font>
      <sz val="14"/>
      <name val="Arial"/>
      <family val="2"/>
    </font>
    <font>
      <sz val="12"/>
      <name val="Arial"/>
      <family val="2"/>
    </font>
    <font>
      <sz val="10"/>
      <color indexed="48"/>
      <name val="Arial"/>
      <family val="2"/>
    </font>
    <font>
      <b/>
      <sz val="10"/>
      <name val="Arial"/>
      <family val="2"/>
    </font>
    <font>
      <b/>
      <i/>
      <sz val="12"/>
      <color indexed="10"/>
      <name val="Arial"/>
      <family val="2"/>
    </font>
    <font>
      <b/>
      <i/>
      <sz val="12"/>
      <name val="Arial"/>
      <family val="2"/>
    </font>
    <font>
      <b/>
      <sz val="10"/>
      <color indexed="8"/>
      <name val="Arial"/>
      <family val="2"/>
    </font>
    <font>
      <sz val="10"/>
      <name val="Wingdings"/>
      <charset val="2"/>
    </font>
    <font>
      <b/>
      <i/>
      <sz val="9"/>
      <color indexed="8"/>
      <name val="Arial"/>
      <family val="2"/>
    </font>
    <font>
      <sz val="10"/>
      <color theme="1"/>
      <name val="Arial"/>
      <family val="2"/>
    </font>
    <font>
      <sz val="9"/>
      <color theme="1"/>
      <name val="Calibri"/>
      <family val="2"/>
      <scheme val="minor"/>
    </font>
    <font>
      <sz val="8"/>
      <color theme="1"/>
      <name val="Calibri"/>
      <family val="2"/>
      <scheme val="minor"/>
    </font>
    <font>
      <sz val="10"/>
      <color theme="0" tint="-0.24994659260841701"/>
      <name val="Arial"/>
      <family val="2"/>
    </font>
    <font>
      <sz val="12"/>
      <color theme="0" tint="-0.24994659260841701"/>
      <name val="Arial"/>
      <family val="2"/>
    </font>
    <font>
      <sz val="10"/>
      <color theme="5" tint="0.79998168889431442"/>
      <name val="Arial"/>
      <family val="2"/>
    </font>
    <font>
      <sz val="16"/>
      <color theme="5" tint="0.79998168889431442"/>
      <name val="Arial"/>
      <family val="2"/>
    </font>
    <font>
      <sz val="11"/>
      <color theme="5" tint="0.79998168889431442"/>
      <name val="Arial"/>
      <family val="2"/>
    </font>
    <font>
      <b/>
      <sz val="36"/>
      <color theme="0" tint="-0.34998626667073579"/>
      <name val="Arial Rounded MT Bold"/>
      <family val="2"/>
    </font>
    <font>
      <sz val="36"/>
      <name val="Arial Rounded MT Bold"/>
      <family val="2"/>
    </font>
    <font>
      <b/>
      <sz val="12"/>
      <color rgb="FF7030A0"/>
      <name val="Arial"/>
      <family val="2"/>
    </font>
    <font>
      <b/>
      <sz val="11"/>
      <color rgb="FF7030A0"/>
      <name val="Arial"/>
      <family val="2"/>
    </font>
    <font>
      <b/>
      <sz val="11"/>
      <color rgb="FFFF0000"/>
      <name val="Arial"/>
      <family val="2"/>
    </font>
    <font>
      <sz val="9"/>
      <color rgb="FFFF0000"/>
      <name val="Calibri"/>
      <family val="2"/>
      <scheme val="minor"/>
    </font>
    <font>
      <sz val="8"/>
      <color rgb="FFFF0000"/>
      <name val="Calibri"/>
      <family val="2"/>
      <scheme val="minor"/>
    </font>
    <font>
      <sz val="9"/>
      <name val="Arial"/>
      <family val="2"/>
    </font>
    <font>
      <sz val="10"/>
      <color theme="5" tint="0.59999389629810485"/>
      <name val="Arial"/>
      <family val="2"/>
    </font>
    <font>
      <sz val="10"/>
      <color theme="3" tint="0.59999389629810485"/>
      <name val="Arial"/>
      <family val="2"/>
    </font>
    <font>
      <sz val="20"/>
      <color theme="2"/>
      <name val="Calibri"/>
      <family val="2"/>
      <scheme val="minor"/>
    </font>
    <font>
      <b/>
      <sz val="18"/>
      <color rgb="FF808000"/>
      <name val="Arial"/>
      <family val="2"/>
    </font>
    <font>
      <sz val="10"/>
      <color theme="2" tint="-9.9978637043366805E-2"/>
      <name val="Arial"/>
      <family val="2"/>
    </font>
    <font>
      <b/>
      <sz val="16"/>
      <name val="Arial"/>
      <family val="2"/>
    </font>
    <font>
      <sz val="16"/>
      <color theme="4" tint="0.79998168889431442"/>
      <name val="Arial"/>
      <family val="2"/>
    </font>
    <font>
      <sz val="10"/>
      <color theme="4" tint="0.79998168889431442"/>
      <name val="Arial"/>
      <family val="2"/>
    </font>
    <font>
      <sz val="13"/>
      <color rgb="FF000000"/>
      <name val="Times New Roman"/>
      <family val="1"/>
    </font>
    <font>
      <sz val="13"/>
      <name val="Arial"/>
      <family val="2"/>
    </font>
    <font>
      <sz val="16"/>
      <color rgb="FFFF0000"/>
      <name val="Arial"/>
      <family val="2"/>
    </font>
    <font>
      <sz val="11"/>
      <color rgb="FFFF0000"/>
      <name val="Arial"/>
      <family val="2"/>
    </font>
  </fonts>
  <fills count="42">
    <fill>
      <patternFill patternType="none"/>
    </fill>
    <fill>
      <patternFill patternType="gray125"/>
    </fill>
    <fill>
      <patternFill patternType="solid">
        <fgColor indexed="45"/>
        <bgColor indexed="64"/>
      </patternFill>
    </fill>
    <fill>
      <patternFill patternType="solid">
        <fgColor indexed="46"/>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48"/>
        <bgColor indexed="64"/>
      </patternFill>
    </fill>
    <fill>
      <patternFill patternType="solid">
        <fgColor indexed="27"/>
        <bgColor indexed="64"/>
      </patternFill>
    </fill>
    <fill>
      <patternFill patternType="solid">
        <fgColor indexed="26"/>
        <bgColor indexed="64"/>
      </patternFill>
    </fill>
    <fill>
      <patternFill patternType="solid">
        <fgColor indexed="6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C00000"/>
        <bgColor indexed="64"/>
      </patternFill>
    </fill>
    <fill>
      <patternFill patternType="solid">
        <fgColor theme="0" tint="-0.24994659260841701"/>
        <bgColor indexed="64"/>
      </patternFill>
    </fill>
    <fill>
      <patternFill patternType="solid">
        <fgColor rgb="FFCCCCFF"/>
        <bgColor indexed="64"/>
      </patternFill>
    </fill>
    <fill>
      <patternFill patternType="solid">
        <fgColor theme="9" tint="0.59996337778862885"/>
        <bgColor indexed="64"/>
      </patternFill>
    </fill>
    <fill>
      <patternFill patternType="solid">
        <fgColor theme="2"/>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48118533890809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medium">
        <color auto="1"/>
      </left>
      <right style="medium">
        <color auto="1"/>
      </right>
      <top/>
      <bottom/>
      <diagonal/>
    </border>
    <border>
      <left/>
      <right/>
      <top style="medium">
        <color auto="1"/>
      </top>
      <bottom style="medium">
        <color auto="1"/>
      </bottom>
      <diagonal/>
    </border>
    <border>
      <left/>
      <right/>
      <top/>
      <bottom style="medium">
        <color auto="1"/>
      </bottom>
      <diagonal/>
    </border>
    <border>
      <left/>
      <right style="medium">
        <color auto="1"/>
      </right>
      <top/>
      <bottom/>
      <diagonal/>
    </border>
    <border>
      <left/>
      <right/>
      <top style="thin">
        <color auto="1"/>
      </top>
      <bottom style="thin">
        <color auto="1"/>
      </bottom>
      <diagonal/>
    </border>
    <border>
      <left style="double">
        <color auto="1"/>
      </left>
      <right style="double">
        <color auto="1"/>
      </right>
      <top style="double">
        <color auto="1"/>
      </top>
      <bottom style="double">
        <color auto="1"/>
      </bottom>
      <diagonal/>
    </border>
    <border>
      <left/>
      <right style="thin">
        <color auto="1"/>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style="thin">
        <color auto="1"/>
      </right>
      <top/>
      <bottom/>
      <diagonal/>
    </border>
    <border>
      <left/>
      <right/>
      <top style="thick">
        <color auto="1"/>
      </top>
      <bottom/>
      <diagonal/>
    </border>
  </borders>
  <cellStyleXfs count="3">
    <xf numFmtId="0" fontId="0" fillId="0" borderId="0"/>
    <xf numFmtId="0" fontId="1" fillId="0" borderId="0"/>
    <xf numFmtId="9" fontId="1" fillId="0" borderId="0" applyFont="0" applyFill="0" applyBorder="0" applyAlignment="0" applyProtection="0"/>
  </cellStyleXfs>
  <cellXfs count="525">
    <xf numFmtId="0" fontId="0" fillId="0" borderId="0" xfId="0"/>
    <xf numFmtId="0" fontId="2" fillId="0" borderId="0" xfId="0" applyFont="1"/>
    <xf numFmtId="0" fontId="8" fillId="0" borderId="0" xfId="0" applyFont="1"/>
    <xf numFmtId="0" fontId="1" fillId="0" borderId="0" xfId="0" applyFont="1"/>
    <xf numFmtId="0" fontId="13" fillId="0" borderId="0" xfId="0" applyFont="1"/>
    <xf numFmtId="0" fontId="0" fillId="0" borderId="0" xfId="0" applyAlignment="1">
      <alignment horizontal="center" vertical="center"/>
    </xf>
    <xf numFmtId="0" fontId="15" fillId="0" borderId="0" xfId="0" applyFont="1" applyAlignment="1">
      <alignment vertical="top" wrapText="1"/>
    </xf>
    <xf numFmtId="0" fontId="16" fillId="0" borderId="0" xfId="0" applyFont="1"/>
    <xf numFmtId="0" fontId="15" fillId="0" borderId="0" xfId="0" applyFont="1" applyAlignment="1">
      <alignment horizontal="justify" vertical="top" wrapText="1"/>
    </xf>
    <xf numFmtId="0" fontId="0" fillId="0" borderId="0" xfId="0" applyAlignment="1">
      <alignment horizontal="center"/>
    </xf>
    <xf numFmtId="0" fontId="11" fillId="0" borderId="0" xfId="0" applyFont="1"/>
    <xf numFmtId="0" fontId="17" fillId="0" borderId="0" xfId="0" applyFont="1"/>
    <xf numFmtId="0" fontId="4" fillId="0" borderId="0" xfId="0" applyFont="1"/>
    <xf numFmtId="0" fontId="19" fillId="0" borderId="0" xfId="0" applyFont="1"/>
    <xf numFmtId="2" fontId="0" fillId="0" borderId="0" xfId="0" applyNumberFormat="1"/>
    <xf numFmtId="0" fontId="0" fillId="0" borderId="0" xfId="0" applyAlignment="1">
      <alignment horizontal="right"/>
    </xf>
    <xf numFmtId="0" fontId="9" fillId="0" borderId="0" xfId="0" applyFont="1"/>
    <xf numFmtId="164" fontId="0" fillId="0" borderId="0" xfId="0" applyNumberFormat="1"/>
    <xf numFmtId="0" fontId="22" fillId="0" borderId="0" xfId="0" applyFont="1"/>
    <xf numFmtId="0" fontId="21" fillId="0" borderId="0" xfId="0" applyFont="1"/>
    <xf numFmtId="0" fontId="23" fillId="0" borderId="0" xfId="0" applyFont="1"/>
    <xf numFmtId="2" fontId="22" fillId="0" borderId="0" xfId="0" applyNumberFormat="1" applyFont="1"/>
    <xf numFmtId="22" fontId="0" fillId="0" borderId="0" xfId="0" applyNumberFormat="1"/>
    <xf numFmtId="169" fontId="0" fillId="0" borderId="0" xfId="0" applyNumberFormat="1"/>
    <xf numFmtId="0" fontId="3" fillId="0" borderId="0" xfId="0" applyFont="1"/>
    <xf numFmtId="9" fontId="0" fillId="0" borderId="0" xfId="2" applyFont="1"/>
    <xf numFmtId="10" fontId="0" fillId="0" borderId="0" xfId="0" applyNumberFormat="1"/>
    <xf numFmtId="0" fontId="0" fillId="4" borderId="0" xfId="0" applyFill="1" applyAlignment="1">
      <alignment horizontal="center"/>
    </xf>
    <xf numFmtId="0" fontId="1" fillId="0" borderId="0" xfId="1"/>
    <xf numFmtId="0" fontId="4" fillId="2" borderId="0" xfId="1" applyFont="1" applyFill="1" applyAlignment="1">
      <alignment horizontal="center" vertical="center"/>
    </xf>
    <xf numFmtId="0" fontId="1" fillId="0" borderId="0" xfId="0" applyFont="1" applyAlignment="1">
      <alignment horizontal="center" vertical="center"/>
    </xf>
    <xf numFmtId="0" fontId="0" fillId="7" borderId="0" xfId="0" applyFill="1"/>
    <xf numFmtId="0" fontId="0" fillId="7" borderId="0" xfId="0" applyFill="1" applyAlignment="1">
      <alignment horizontal="center"/>
    </xf>
    <xf numFmtId="0" fontId="1" fillId="7" borderId="0" xfId="0" applyFont="1" applyFill="1" applyAlignment="1">
      <alignment horizontal="center"/>
    </xf>
    <xf numFmtId="0" fontId="1" fillId="7" borderId="0" xfId="0" applyFont="1" applyFill="1"/>
    <xf numFmtId="0" fontId="30" fillId="7" borderId="0" xfId="0" applyFont="1" applyFill="1"/>
    <xf numFmtId="0" fontId="1" fillId="8" borderId="0" xfId="1" applyFill="1"/>
    <xf numFmtId="0" fontId="1" fillId="0" borderId="0" xfId="1" applyAlignment="1">
      <alignment horizontal="left"/>
    </xf>
    <xf numFmtId="0" fontId="1" fillId="4" borderId="0" xfId="1" applyFill="1"/>
    <xf numFmtId="0" fontId="1" fillId="4" borderId="0" xfId="1" applyFill="1" applyAlignment="1">
      <alignment horizontal="left"/>
    </xf>
    <xf numFmtId="0" fontId="1" fillId="4" borderId="1" xfId="1" applyFill="1" applyBorder="1" applyAlignment="1" applyProtection="1">
      <alignment horizontal="center" vertical="center"/>
      <protection locked="0"/>
    </xf>
    <xf numFmtId="0" fontId="1" fillId="4" borderId="0" xfId="1" applyFill="1" applyAlignment="1">
      <alignment horizontal="center" vertical="center"/>
    </xf>
    <xf numFmtId="0" fontId="4" fillId="4" borderId="1" xfId="1" applyFont="1" applyFill="1" applyBorder="1" applyAlignment="1">
      <alignment horizontal="left"/>
    </xf>
    <xf numFmtId="0" fontId="4" fillId="4" borderId="0" xfId="1" applyFont="1" applyFill="1" applyAlignment="1">
      <alignment horizontal="center" vertical="top"/>
    </xf>
    <xf numFmtId="0" fontId="4" fillId="4" borderId="3" xfId="1" applyFont="1" applyFill="1" applyBorder="1" applyAlignment="1">
      <alignment horizontal="left"/>
    </xf>
    <xf numFmtId="0" fontId="4" fillId="4" borderId="6" xfId="1" applyFont="1" applyFill="1" applyBorder="1" applyAlignment="1">
      <alignment horizontal="left"/>
    </xf>
    <xf numFmtId="0" fontId="4" fillId="4" borderId="0" xfId="1" applyFont="1" applyFill="1" applyAlignment="1">
      <alignment horizontal="right" vertical="top"/>
    </xf>
    <xf numFmtId="0" fontId="1" fillId="4" borderId="0" xfId="1" applyFill="1" applyAlignment="1">
      <alignment horizontal="justify"/>
    </xf>
    <xf numFmtId="0" fontId="32" fillId="4" borderId="0" xfId="1" applyFont="1" applyFill="1" applyAlignment="1">
      <alignment horizontal="right"/>
    </xf>
    <xf numFmtId="0" fontId="1" fillId="4" borderId="0" xfId="1" applyFill="1" applyAlignment="1">
      <alignment horizontal="center"/>
    </xf>
    <xf numFmtId="0" fontId="0" fillId="5" borderId="0" xfId="0" applyFill="1"/>
    <xf numFmtId="0" fontId="1" fillId="5" borderId="0" xfId="0" applyFont="1" applyFill="1" applyAlignment="1">
      <alignment horizontal="center"/>
    </xf>
    <xf numFmtId="0" fontId="0" fillId="5" borderId="0" xfId="0" applyFill="1" applyAlignment="1">
      <alignment horizontal="center"/>
    </xf>
    <xf numFmtId="0" fontId="0" fillId="4" borderId="0" xfId="0" applyFill="1"/>
    <xf numFmtId="0" fontId="1" fillId="4" borderId="0" xfId="0" applyFont="1" applyFill="1" applyAlignment="1">
      <alignment horizontal="center"/>
    </xf>
    <xf numFmtId="0" fontId="30" fillId="4" borderId="0" xfId="0" applyFont="1" applyFill="1" applyAlignment="1">
      <alignment horizontal="center"/>
    </xf>
    <xf numFmtId="0" fontId="29" fillId="4" borderId="0" xfId="0" applyFont="1" applyFill="1" applyAlignment="1">
      <alignment horizontal="center"/>
    </xf>
    <xf numFmtId="0" fontId="4" fillId="4" borderId="0" xfId="0" applyFont="1" applyFill="1" applyAlignment="1">
      <alignment horizontal="center"/>
    </xf>
    <xf numFmtId="0" fontId="4" fillId="5" borderId="0" xfId="0" applyFont="1" applyFill="1" applyAlignment="1">
      <alignment horizontal="center"/>
    </xf>
    <xf numFmtId="0" fontId="18" fillId="7" borderId="0" xfId="0" applyFont="1" applyFill="1"/>
    <xf numFmtId="0" fontId="1" fillId="7" borderId="0" xfId="0" applyFont="1" applyFill="1" applyAlignment="1" applyProtection="1">
      <alignment horizontal="center"/>
      <protection locked="0"/>
    </xf>
    <xf numFmtId="0" fontId="1" fillId="7" borderId="0" xfId="0" applyFont="1" applyFill="1" applyProtection="1">
      <protection locked="0"/>
    </xf>
    <xf numFmtId="0" fontId="0" fillId="7" borderId="0" xfId="0" applyFill="1" applyProtection="1">
      <protection locked="0"/>
    </xf>
    <xf numFmtId="0" fontId="0" fillId="7" borderId="0" xfId="0" applyFill="1" applyAlignment="1" applyProtection="1">
      <alignment horizontal="center"/>
      <protection locked="0"/>
    </xf>
    <xf numFmtId="0" fontId="31" fillId="7" borderId="0" xfId="0" applyFont="1" applyFill="1" applyProtection="1">
      <protection locked="0"/>
    </xf>
    <xf numFmtId="0" fontId="1" fillId="7" borderId="1" xfId="0" applyFont="1" applyFill="1" applyBorder="1" applyAlignment="1" applyProtection="1">
      <alignment horizontal="center"/>
      <protection locked="0"/>
    </xf>
    <xf numFmtId="0" fontId="0" fillId="7" borderId="1" xfId="0" applyFill="1" applyBorder="1" applyAlignment="1" applyProtection="1">
      <alignment horizontal="center"/>
      <protection locked="0"/>
    </xf>
    <xf numFmtId="9" fontId="0" fillId="0" borderId="0" xfId="0" applyNumberFormat="1"/>
    <xf numFmtId="14" fontId="0" fillId="0" borderId="0" xfId="0" applyNumberFormat="1"/>
    <xf numFmtId="0" fontId="6" fillId="0" borderId="0" xfId="0" applyFont="1"/>
    <xf numFmtId="0" fontId="4" fillId="0" borderId="0" xfId="0" applyFont="1" applyAlignment="1">
      <alignment textRotation="45"/>
    </xf>
    <xf numFmtId="0" fontId="4" fillId="3" borderId="0" xfId="0" applyFont="1" applyFill="1" applyAlignment="1">
      <alignment textRotation="45"/>
    </xf>
    <xf numFmtId="0" fontId="0" fillId="10" borderId="0" xfId="0" applyFill="1"/>
    <xf numFmtId="0" fontId="4" fillId="10" borderId="0" xfId="0" applyFont="1" applyFill="1" applyAlignment="1">
      <alignment horizontal="center" vertical="center"/>
    </xf>
    <xf numFmtId="0" fontId="34" fillId="10" borderId="0" xfId="0" applyFont="1" applyFill="1"/>
    <xf numFmtId="0" fontId="0" fillId="11" borderId="0" xfId="0" applyFill="1"/>
    <xf numFmtId="0" fontId="1" fillId="6" borderId="19" xfId="0" applyFont="1" applyFill="1" applyBorder="1" applyAlignment="1">
      <alignment vertical="center" wrapText="1"/>
    </xf>
    <xf numFmtId="0" fontId="0" fillId="6" borderId="19" xfId="0" applyFill="1" applyBorder="1"/>
    <xf numFmtId="0" fontId="0" fillId="6" borderId="19" xfId="0" applyFill="1" applyBorder="1" applyAlignment="1">
      <alignment vertical="center"/>
    </xf>
    <xf numFmtId="0" fontId="1" fillId="0" borderId="0" xfId="0" applyFont="1" applyProtection="1">
      <protection hidden="1"/>
    </xf>
    <xf numFmtId="0" fontId="35" fillId="10" borderId="0" xfId="0" applyFont="1" applyFill="1"/>
    <xf numFmtId="2" fontId="35" fillId="10" borderId="0" xfId="0" applyNumberFormat="1" applyFont="1" applyFill="1"/>
    <xf numFmtId="0" fontId="9" fillId="4" borderId="0" xfId="1" applyFont="1" applyFill="1" applyAlignment="1">
      <alignment horizontal="center" vertical="center"/>
    </xf>
    <xf numFmtId="10" fontId="1" fillId="0" borderId="0" xfId="0" applyNumberFormat="1" applyFont="1"/>
    <xf numFmtId="0" fontId="1" fillId="12" borderId="0" xfId="0" applyFont="1" applyFill="1" applyAlignment="1">
      <alignment horizontal="center" vertical="center"/>
    </xf>
    <xf numFmtId="10" fontId="0" fillId="12" borderId="0" xfId="0" applyNumberFormat="1" applyFill="1"/>
    <xf numFmtId="0" fontId="0" fillId="12" borderId="0" xfId="0" applyFill="1" applyAlignment="1">
      <alignment horizontal="center" vertical="center"/>
    </xf>
    <xf numFmtId="0" fontId="1" fillId="12" borderId="0" xfId="0" applyFont="1" applyFill="1" applyAlignment="1">
      <alignment horizontal="center"/>
    </xf>
    <xf numFmtId="0" fontId="0" fillId="12" borderId="0" xfId="0" applyFill="1"/>
    <xf numFmtId="2" fontId="10" fillId="13" borderId="1" xfId="0" applyNumberFormat="1" applyFont="1" applyFill="1" applyBorder="1" applyAlignment="1">
      <alignment horizontal="center"/>
    </xf>
    <xf numFmtId="2" fontId="0" fillId="13" borderId="0" xfId="0" applyNumberFormat="1" applyFill="1"/>
    <xf numFmtId="2" fontId="0" fillId="13" borderId="0" xfId="0" applyNumberFormat="1" applyFill="1" applyProtection="1">
      <protection hidden="1"/>
    </xf>
    <xf numFmtId="2" fontId="4" fillId="13" borderId="0" xfId="0" applyNumberFormat="1" applyFont="1" applyFill="1" applyAlignment="1" applyProtection="1">
      <alignment horizontal="center"/>
      <protection hidden="1"/>
    </xf>
    <xf numFmtId="0" fontId="19" fillId="13" borderId="0" xfId="0" applyFont="1" applyFill="1" applyProtection="1">
      <protection hidden="1"/>
    </xf>
    <xf numFmtId="0" fontId="0" fillId="13" borderId="0" xfId="0" applyFill="1" applyProtection="1">
      <protection hidden="1"/>
    </xf>
    <xf numFmtId="0" fontId="0" fillId="13" borderId="0" xfId="0" applyFill="1"/>
    <xf numFmtId="0" fontId="10" fillId="13" borderId="0" xfId="0" applyFont="1" applyFill="1" applyAlignment="1" applyProtection="1">
      <alignment horizontal="center"/>
      <protection hidden="1"/>
    </xf>
    <xf numFmtId="0" fontId="1" fillId="13" borderId="0" xfId="0" applyFont="1" applyFill="1" applyProtection="1">
      <protection hidden="1"/>
    </xf>
    <xf numFmtId="2" fontId="4" fillId="13" borderId="1" xfId="0" applyNumberFormat="1" applyFont="1" applyFill="1" applyBorder="1" applyAlignment="1">
      <alignment horizontal="center"/>
    </xf>
    <xf numFmtId="2" fontId="20" fillId="13" borderId="0" xfId="0" applyNumberFormat="1" applyFont="1" applyFill="1" applyProtection="1">
      <protection hidden="1"/>
    </xf>
    <xf numFmtId="2" fontId="10" fillId="13" borderId="1" xfId="0" applyNumberFormat="1" applyFont="1" applyFill="1" applyBorder="1" applyAlignment="1">
      <alignment horizontal="right"/>
    </xf>
    <xf numFmtId="2" fontId="0" fillId="13" borderId="1" xfId="0" applyNumberFormat="1" applyFill="1" applyBorder="1" applyAlignment="1">
      <alignment horizontal="right"/>
    </xf>
    <xf numFmtId="165" fontId="0" fillId="13" borderId="0" xfId="0" applyNumberFormat="1" applyFill="1" applyProtection="1">
      <protection hidden="1"/>
    </xf>
    <xf numFmtId="0" fontId="4" fillId="13" borderId="11" xfId="0" applyFont="1" applyFill="1" applyBorder="1" applyAlignment="1">
      <alignment horizontal="center"/>
    </xf>
    <xf numFmtId="2" fontId="0" fillId="13" borderId="10" xfId="0" applyNumberFormat="1" applyFill="1" applyBorder="1"/>
    <xf numFmtId="2" fontId="0" fillId="13" borderId="0" xfId="0" applyNumberFormat="1" applyFill="1" applyProtection="1">
      <protection locked="0" hidden="1"/>
    </xf>
    <xf numFmtId="2" fontId="4" fillId="13" borderId="14" xfId="0" applyNumberFormat="1" applyFont="1" applyFill="1" applyBorder="1" applyAlignment="1">
      <alignment horizontal="center"/>
    </xf>
    <xf numFmtId="2" fontId="0" fillId="13" borderId="12" xfId="0" applyNumberFormat="1" applyFill="1" applyBorder="1"/>
    <xf numFmtId="2" fontId="0" fillId="13" borderId="7" xfId="0" applyNumberFormat="1" applyFill="1" applyBorder="1"/>
    <xf numFmtId="0" fontId="0" fillId="13" borderId="11" xfId="0" applyFill="1" applyBorder="1"/>
    <xf numFmtId="0" fontId="37" fillId="13" borderId="0" xfId="0" applyFont="1" applyFill="1" applyProtection="1">
      <protection hidden="1"/>
    </xf>
    <xf numFmtId="0" fontId="38" fillId="13" borderId="0" xfId="0" applyFont="1" applyFill="1" applyProtection="1">
      <protection hidden="1"/>
    </xf>
    <xf numFmtId="2" fontId="1" fillId="15" borderId="1" xfId="0" applyNumberFormat="1" applyFont="1" applyFill="1" applyBorder="1" applyAlignment="1" applyProtection="1">
      <alignment horizontal="center"/>
      <protection hidden="1"/>
    </xf>
    <xf numFmtId="2" fontId="1" fillId="15" borderId="1" xfId="0" applyNumberFormat="1" applyFont="1" applyFill="1" applyBorder="1" applyAlignment="1" applyProtection="1">
      <alignment horizontal="center"/>
      <protection locked="0"/>
    </xf>
    <xf numFmtId="166" fontId="1" fillId="15" borderId="1" xfId="0" applyNumberFormat="1" applyFont="1" applyFill="1" applyBorder="1" applyAlignment="1" applyProtection="1">
      <alignment horizontal="center"/>
      <protection hidden="1"/>
    </xf>
    <xf numFmtId="2" fontId="10" fillId="15" borderId="2" xfId="0" applyNumberFormat="1" applyFont="1" applyFill="1" applyBorder="1" applyAlignment="1">
      <alignment horizontal="center"/>
    </xf>
    <xf numFmtId="2" fontId="0" fillId="15" borderId="1" xfId="0" applyNumberFormat="1" applyFill="1" applyBorder="1" applyAlignment="1" applyProtection="1">
      <alignment horizontal="center"/>
      <protection hidden="1"/>
    </xf>
    <xf numFmtId="2" fontId="0" fillId="15" borderId="21" xfId="0" applyNumberFormat="1" applyFill="1" applyBorder="1" applyAlignment="1">
      <alignment horizontal="center" vertical="center"/>
    </xf>
    <xf numFmtId="2" fontId="0" fillId="15" borderId="7" xfId="0" applyNumberFormat="1" applyFill="1" applyBorder="1" applyAlignment="1">
      <alignment horizontal="center" vertical="center"/>
    </xf>
    <xf numFmtId="0" fontId="0" fillId="13" borderId="14" xfId="0" applyFill="1" applyBorder="1"/>
    <xf numFmtId="0" fontId="0" fillId="17" borderId="0" xfId="0" applyFill="1"/>
    <xf numFmtId="0" fontId="0" fillId="17" borderId="0" xfId="0" applyFill="1" applyAlignment="1">
      <alignment horizontal="center" vertical="center"/>
    </xf>
    <xf numFmtId="0" fontId="8" fillId="17" borderId="5" xfId="0" applyFont="1" applyFill="1" applyBorder="1" applyAlignment="1">
      <alignment horizontal="left" vertical="center" wrapText="1"/>
    </xf>
    <xf numFmtId="0" fontId="0" fillId="17" borderId="18" xfId="0" applyFill="1" applyBorder="1" applyAlignment="1">
      <alignment horizontal="center" vertical="center"/>
    </xf>
    <xf numFmtId="0" fontId="8" fillId="17" borderId="4" xfId="0" applyFont="1" applyFill="1" applyBorder="1" applyAlignment="1">
      <alignment horizontal="left" vertical="center" wrapText="1"/>
    </xf>
    <xf numFmtId="0" fontId="0" fillId="20" borderId="0" xfId="0" applyFill="1"/>
    <xf numFmtId="0" fontId="0" fillId="17" borderId="0" xfId="0" applyFill="1" applyAlignment="1">
      <alignment vertical="center"/>
    </xf>
    <xf numFmtId="0" fontId="8" fillId="17" borderId="15" xfId="0" applyFont="1" applyFill="1" applyBorder="1" applyAlignment="1">
      <alignment horizontal="left" vertical="center" wrapText="1"/>
    </xf>
    <xf numFmtId="0" fontId="0" fillId="14" borderId="0" xfId="0" applyFill="1"/>
    <xf numFmtId="0" fontId="33" fillId="14" borderId="0" xfId="0" applyFont="1" applyFill="1" applyAlignment="1">
      <alignment vertical="center" wrapText="1"/>
    </xf>
    <xf numFmtId="0" fontId="2" fillId="20" borderId="0" xfId="0" applyFont="1" applyFill="1" applyAlignment="1">
      <alignment horizontal="left" vertical="center" wrapText="1"/>
    </xf>
    <xf numFmtId="0" fontId="0" fillId="20" borderId="0" xfId="0" applyFill="1" applyProtection="1">
      <protection hidden="1"/>
    </xf>
    <xf numFmtId="0" fontId="8" fillId="20" borderId="0" xfId="0" applyFont="1" applyFill="1" applyAlignment="1">
      <alignment vertical="center" wrapText="1"/>
    </xf>
    <xf numFmtId="0" fontId="11" fillId="20" borderId="0" xfId="0" applyFont="1" applyFill="1"/>
    <xf numFmtId="0" fontId="47" fillId="14" borderId="0" xfId="0" applyFont="1" applyFill="1" applyAlignment="1">
      <alignment vertical="center"/>
    </xf>
    <xf numFmtId="0" fontId="53" fillId="18" borderId="0" xfId="0" applyFont="1" applyFill="1"/>
    <xf numFmtId="0" fontId="53" fillId="18" borderId="0" xfId="0" applyFont="1" applyFill="1" applyAlignment="1">
      <alignment horizontal="justify" vertical="center" wrapText="1"/>
    </xf>
    <xf numFmtId="0" fontId="52" fillId="18" borderId="0" xfId="0" applyFont="1" applyFill="1" applyAlignment="1">
      <alignment horizontal="center" vertical="center" wrapText="1"/>
    </xf>
    <xf numFmtId="0" fontId="1" fillId="18" borderId="0" xfId="0" applyFont="1" applyFill="1" applyAlignment="1">
      <alignment horizontal="center" vertical="center" wrapText="1"/>
    </xf>
    <xf numFmtId="0" fontId="1" fillId="18" borderId="0" xfId="0" applyFont="1" applyFill="1" applyAlignment="1">
      <alignment horizontal="center" vertical="center"/>
    </xf>
    <xf numFmtId="0" fontId="54" fillId="18" borderId="16" xfId="0" applyFont="1" applyFill="1" applyBorder="1" applyAlignment="1">
      <alignment horizontal="center" vertical="center" wrapText="1"/>
    </xf>
    <xf numFmtId="0" fontId="54" fillId="18" borderId="17" xfId="0" applyFont="1" applyFill="1" applyBorder="1" applyAlignment="1">
      <alignment horizontal="center" vertical="center" wrapText="1"/>
    </xf>
    <xf numFmtId="0" fontId="34" fillId="18" borderId="0" xfId="0" applyFont="1" applyFill="1" applyAlignment="1">
      <alignment horizontal="center" vertical="center"/>
    </xf>
    <xf numFmtId="0" fontId="34" fillId="18" borderId="0" xfId="0" applyFont="1" applyFill="1" applyAlignment="1">
      <alignment horizontal="center" vertical="center" wrapText="1"/>
    </xf>
    <xf numFmtId="0" fontId="55" fillId="13" borderId="0" xfId="0" applyFont="1" applyFill="1" applyProtection="1">
      <protection hidden="1"/>
    </xf>
    <xf numFmtId="0" fontId="56" fillId="13" borderId="0" xfId="0" applyFont="1" applyFill="1" applyProtection="1">
      <protection hidden="1"/>
    </xf>
    <xf numFmtId="2" fontId="56" fillId="13" borderId="0" xfId="0" applyNumberFormat="1" applyFont="1" applyFill="1" applyProtection="1">
      <protection hidden="1"/>
    </xf>
    <xf numFmtId="164" fontId="56" fillId="13" borderId="0" xfId="0" applyNumberFormat="1" applyFont="1" applyFill="1" applyProtection="1">
      <protection hidden="1"/>
    </xf>
    <xf numFmtId="0" fontId="55" fillId="13" borderId="0" xfId="0" applyFont="1" applyFill="1"/>
    <xf numFmtId="0" fontId="0" fillId="20" borderId="11" xfId="0" applyFill="1" applyBorder="1" applyAlignment="1">
      <alignment horizontal="justify" vertical="center" wrapText="1"/>
    </xf>
    <xf numFmtId="0" fontId="0" fillId="20" borderId="0" xfId="0" applyFill="1" applyAlignment="1">
      <alignment horizontal="center" vertical="center"/>
    </xf>
    <xf numFmtId="0" fontId="8" fillId="20" borderId="0" xfId="0" applyFont="1" applyFill="1" applyAlignment="1">
      <alignment horizontal="left" vertical="center" wrapText="1"/>
    </xf>
    <xf numFmtId="11" fontId="25" fillId="20" borderId="0" xfId="0" applyNumberFormat="1" applyFont="1" applyFill="1" applyAlignment="1">
      <alignment horizontal="center" vertical="center"/>
    </xf>
    <xf numFmtId="0" fontId="53" fillId="20" borderId="0" xfId="0" applyFont="1" applyFill="1"/>
    <xf numFmtId="0" fontId="8" fillId="20" borderId="4" xfId="0" applyFont="1" applyFill="1" applyBorder="1" applyAlignment="1">
      <alignment horizontal="left" vertical="center"/>
    </xf>
    <xf numFmtId="0" fontId="8" fillId="20" borderId="4" xfId="0" applyFont="1" applyFill="1" applyBorder="1" applyAlignment="1">
      <alignment horizontal="left" vertical="center" wrapText="1"/>
    </xf>
    <xf numFmtId="0" fontId="0" fillId="18" borderId="0" xfId="0" applyFill="1"/>
    <xf numFmtId="0" fontId="0" fillId="20" borderId="0" xfId="0" applyFill="1" applyAlignment="1">
      <alignment vertical="center"/>
    </xf>
    <xf numFmtId="0" fontId="34" fillId="20" borderId="0" xfId="0" applyFont="1" applyFill="1" applyAlignment="1">
      <alignment horizontal="center" vertical="center"/>
    </xf>
    <xf numFmtId="0" fontId="1" fillId="6" borderId="19" xfId="0" applyFont="1" applyFill="1" applyBorder="1" applyAlignment="1">
      <alignment horizontal="right" vertical="center" wrapText="1"/>
    </xf>
    <xf numFmtId="2" fontId="57" fillId="13" borderId="0" xfId="0" applyNumberFormat="1" applyFont="1" applyFill="1" applyProtection="1">
      <protection hidden="1"/>
    </xf>
    <xf numFmtId="0" fontId="57" fillId="13" borderId="0" xfId="0" applyFont="1" applyFill="1"/>
    <xf numFmtId="0" fontId="57" fillId="13" borderId="0" xfId="0" applyFont="1" applyFill="1" applyProtection="1">
      <protection hidden="1"/>
    </xf>
    <xf numFmtId="0" fontId="1" fillId="26" borderId="0" xfId="1" applyFill="1" applyAlignment="1">
      <alignment horizontal="left"/>
    </xf>
    <xf numFmtId="0" fontId="1" fillId="26" borderId="0" xfId="1" applyFill="1"/>
    <xf numFmtId="0" fontId="4" fillId="26" borderId="0" xfId="1" applyFont="1" applyFill="1" applyAlignment="1">
      <alignment vertical="top"/>
    </xf>
    <xf numFmtId="0" fontId="1" fillId="26" borderId="0" xfId="1" applyFill="1" applyAlignment="1">
      <alignment vertical="top" wrapText="1"/>
    </xf>
    <xf numFmtId="0" fontId="1" fillId="28" borderId="0" xfId="1" applyFill="1"/>
    <xf numFmtId="0" fontId="1" fillId="27" borderId="0" xfId="1" applyFill="1" applyAlignment="1">
      <alignment horizontal="left"/>
    </xf>
    <xf numFmtId="0" fontId="1" fillId="27" borderId="0" xfId="1" applyFill="1"/>
    <xf numFmtId="0" fontId="1" fillId="27" borderId="0" xfId="1" applyFill="1" applyAlignment="1">
      <alignment horizontal="center" vertical="center"/>
    </xf>
    <xf numFmtId="2" fontId="59" fillId="13" borderId="0" xfId="0" applyNumberFormat="1" applyFont="1" applyFill="1" applyProtection="1">
      <protection hidden="1"/>
    </xf>
    <xf numFmtId="167" fontId="59" fillId="13" borderId="0" xfId="0" applyNumberFormat="1" applyFont="1" applyFill="1" applyProtection="1">
      <protection hidden="1"/>
    </xf>
    <xf numFmtId="0" fontId="59" fillId="13" borderId="0" xfId="0" applyFont="1" applyFill="1" applyProtection="1">
      <protection hidden="1"/>
    </xf>
    <xf numFmtId="0" fontId="59" fillId="13" borderId="0" xfId="0" applyFont="1" applyFill="1"/>
    <xf numFmtId="2" fontId="59" fillId="13" borderId="0" xfId="0" applyNumberFormat="1" applyFont="1" applyFill="1"/>
    <xf numFmtId="0" fontId="63" fillId="30" borderId="0" xfId="0" applyFont="1" applyFill="1"/>
    <xf numFmtId="0" fontId="0" fillId="30" borderId="0" xfId="0" applyFill="1"/>
    <xf numFmtId="0" fontId="61" fillId="30" borderId="0" xfId="0" applyFont="1" applyFill="1" applyAlignment="1">
      <alignment vertical="center"/>
    </xf>
    <xf numFmtId="0" fontId="0" fillId="30" borderId="0" xfId="0" applyFill="1" applyAlignment="1">
      <alignment horizontal="center" vertical="center"/>
    </xf>
    <xf numFmtId="0" fontId="61" fillId="30" borderId="6" xfId="0" applyFont="1" applyFill="1" applyBorder="1" applyAlignment="1">
      <alignment horizontal="center" vertical="center" wrapText="1"/>
    </xf>
    <xf numFmtId="0" fontId="61" fillId="30" borderId="4" xfId="0" applyFont="1" applyFill="1" applyBorder="1" applyAlignment="1">
      <alignment vertical="center"/>
    </xf>
    <xf numFmtId="0" fontId="61" fillId="30" borderId="10" xfId="0" applyFont="1" applyFill="1" applyBorder="1" applyAlignment="1">
      <alignment horizontal="center" vertical="center"/>
    </xf>
    <xf numFmtId="0" fontId="61" fillId="30" borderId="0" xfId="0" applyFont="1" applyFill="1" applyAlignment="1">
      <alignment horizontal="center" vertical="center"/>
    </xf>
    <xf numFmtId="0" fontId="61" fillId="30" borderId="18" xfId="0" applyFont="1" applyFill="1" applyBorder="1" applyAlignment="1">
      <alignment horizontal="center" vertical="center"/>
    </xf>
    <xf numFmtId="0" fontId="68" fillId="30" borderId="4" xfId="0" applyFont="1" applyFill="1" applyBorder="1" applyAlignment="1">
      <alignment horizontal="center" vertical="center"/>
    </xf>
    <xf numFmtId="0" fontId="69" fillId="30" borderId="0" xfId="0" applyFont="1" applyFill="1"/>
    <xf numFmtId="0" fontId="4" fillId="30" borderId="0" xfId="0" applyFont="1" applyFill="1" applyAlignment="1">
      <alignment textRotation="45"/>
    </xf>
    <xf numFmtId="0" fontId="4" fillId="30" borderId="0" xfId="0" applyFont="1" applyFill="1" applyAlignment="1">
      <alignment horizontal="left" textRotation="45"/>
    </xf>
    <xf numFmtId="0" fontId="68" fillId="30" borderId="15" xfId="0" applyFont="1" applyFill="1" applyBorder="1" applyAlignment="1" applyProtection="1">
      <alignment horizontal="center" vertical="center"/>
      <protection locked="0"/>
    </xf>
    <xf numFmtId="2" fontId="68" fillId="30" borderId="25" xfId="0" applyNumberFormat="1" applyFont="1" applyFill="1" applyBorder="1" applyAlignment="1">
      <alignment horizontal="center" vertical="center"/>
    </xf>
    <xf numFmtId="0" fontId="14" fillId="30" borderId="0" xfId="0" applyFont="1" applyFill="1" applyAlignment="1">
      <alignment horizontal="right" vertical="center"/>
    </xf>
    <xf numFmtId="0" fontId="69" fillId="30" borderId="0" xfId="0" applyFont="1" applyFill="1" applyAlignment="1">
      <alignment horizontal="center" vertical="center"/>
    </xf>
    <xf numFmtId="0" fontId="1" fillId="0" borderId="0" xfId="0" applyFont="1" applyAlignment="1">
      <alignment horizontal="left"/>
    </xf>
    <xf numFmtId="0" fontId="65" fillId="30" borderId="0" xfId="0" applyFont="1" applyFill="1" applyAlignment="1">
      <alignment horizontal="center" vertical="center"/>
    </xf>
    <xf numFmtId="0" fontId="63" fillId="30" borderId="0" xfId="0" applyFont="1" applyFill="1" applyAlignment="1">
      <alignment horizontal="center" vertical="center"/>
    </xf>
    <xf numFmtId="0" fontId="57" fillId="30" borderId="0" xfId="0" applyFont="1" applyFill="1" applyAlignment="1">
      <alignment horizontal="center" vertical="center"/>
    </xf>
    <xf numFmtId="0" fontId="62" fillId="30" borderId="0" xfId="0" applyFont="1" applyFill="1" applyAlignment="1">
      <alignment horizontal="center" vertical="center"/>
    </xf>
    <xf numFmtId="0" fontId="67" fillId="30" borderId="0" xfId="0" applyFont="1" applyFill="1" applyAlignment="1">
      <alignment horizontal="center" vertical="center"/>
    </xf>
    <xf numFmtId="0" fontId="67" fillId="30" borderId="0" xfId="0" applyFont="1" applyFill="1" applyAlignment="1" applyProtection="1">
      <alignment horizontal="center" vertical="center"/>
      <protection locked="0"/>
    </xf>
    <xf numFmtId="0" fontId="69" fillId="30" borderId="0" xfId="0" applyFont="1" applyFill="1" applyAlignment="1" applyProtection="1">
      <alignment horizontal="center" vertical="center"/>
      <protection locked="0"/>
    </xf>
    <xf numFmtId="0" fontId="1" fillId="31" borderId="0" xfId="1" applyFill="1" applyAlignment="1">
      <alignment horizontal="left"/>
    </xf>
    <xf numFmtId="0" fontId="1" fillId="31" borderId="0" xfId="1" applyFill="1"/>
    <xf numFmtId="0" fontId="1" fillId="32" borderId="0" xfId="1" applyFill="1" applyAlignment="1">
      <alignment horizontal="left"/>
    </xf>
    <xf numFmtId="0" fontId="1" fillId="32" borderId="0" xfId="1" applyFill="1"/>
    <xf numFmtId="0" fontId="6" fillId="32" borderId="0" xfId="1" applyFont="1" applyFill="1"/>
    <xf numFmtId="0" fontId="1" fillId="0" borderId="1" xfId="1" applyBorder="1" applyAlignment="1" applyProtection="1">
      <alignment horizontal="left" vertical="center"/>
      <protection locked="0"/>
    </xf>
    <xf numFmtId="0" fontId="4" fillId="32" borderId="0" xfId="1" applyFont="1" applyFill="1" applyAlignment="1">
      <alignment horizontal="left"/>
    </xf>
    <xf numFmtId="0" fontId="9" fillId="32" borderId="0" xfId="1" applyFont="1" applyFill="1" applyAlignment="1">
      <alignment horizontal="left"/>
    </xf>
    <xf numFmtId="2" fontId="1" fillId="13" borderId="1" xfId="0" applyNumberFormat="1" applyFont="1" applyFill="1" applyBorder="1" applyAlignment="1">
      <alignment horizontal="right"/>
    </xf>
    <xf numFmtId="0" fontId="1" fillId="13" borderId="1" xfId="0" applyFont="1" applyFill="1" applyBorder="1" applyAlignment="1">
      <alignment horizontal="right"/>
    </xf>
    <xf numFmtId="0" fontId="1" fillId="13" borderId="3" xfId="0" applyFont="1" applyFill="1" applyBorder="1" applyAlignment="1">
      <alignment horizontal="right"/>
    </xf>
    <xf numFmtId="2" fontId="72" fillId="13" borderId="1" xfId="0" applyNumberFormat="1" applyFont="1" applyFill="1" applyBorder="1" applyAlignment="1">
      <alignment horizontal="right"/>
    </xf>
    <xf numFmtId="0" fontId="9" fillId="29" borderId="0" xfId="0" applyFont="1" applyFill="1"/>
    <xf numFmtId="0" fontId="0" fillId="29" borderId="0" xfId="0" applyFill="1" applyAlignment="1">
      <alignment horizontal="center"/>
    </xf>
    <xf numFmtId="0" fontId="0" fillId="29" borderId="0" xfId="0" applyFill="1"/>
    <xf numFmtId="0" fontId="4" fillId="29" borderId="0" xfId="0" applyFont="1" applyFill="1"/>
    <xf numFmtId="0" fontId="26" fillId="29" borderId="1" xfId="0" applyFont="1" applyFill="1" applyBorder="1" applyAlignment="1">
      <alignment horizontal="center"/>
    </xf>
    <xf numFmtId="0" fontId="27" fillId="29" borderId="1" xfId="0" applyFont="1" applyFill="1" applyBorder="1" applyAlignment="1">
      <alignment horizontal="center"/>
    </xf>
    <xf numFmtId="0" fontId="4" fillId="35" borderId="1" xfId="0" applyFont="1" applyFill="1" applyBorder="1" applyAlignment="1">
      <alignment horizontal="center"/>
    </xf>
    <xf numFmtId="1" fontId="1" fillId="12" borderId="1" xfId="0" applyNumberFormat="1" applyFont="1" applyFill="1" applyBorder="1" applyAlignment="1" applyProtection="1">
      <alignment horizontal="center"/>
      <protection locked="0"/>
    </xf>
    <xf numFmtId="1" fontId="0" fillId="12" borderId="1" xfId="0" applyNumberFormat="1" applyFill="1" applyBorder="1" applyAlignment="1" applyProtection="1">
      <alignment horizontal="center"/>
      <protection locked="0"/>
    </xf>
    <xf numFmtId="1" fontId="1" fillId="36" borderId="1" xfId="0" applyNumberFormat="1" applyFont="1" applyFill="1" applyBorder="1" applyAlignment="1" applyProtection="1">
      <alignment horizontal="center"/>
      <protection locked="0"/>
    </xf>
    <xf numFmtId="1" fontId="0" fillId="36" borderId="1" xfId="0" applyNumberFormat="1" applyFill="1" applyBorder="1" applyAlignment="1" applyProtection="1">
      <alignment horizontal="center"/>
      <protection locked="0"/>
    </xf>
    <xf numFmtId="0" fontId="74" fillId="24" borderId="0" xfId="0" applyFont="1" applyFill="1" applyAlignment="1">
      <alignment horizontal="left" vertical="center"/>
    </xf>
    <xf numFmtId="0" fontId="75" fillId="24" borderId="0" xfId="0" applyFont="1" applyFill="1"/>
    <xf numFmtId="0" fontId="76" fillId="24" borderId="0" xfId="0" applyFont="1" applyFill="1"/>
    <xf numFmtId="0" fontId="77" fillId="24" borderId="0" xfId="0" applyFont="1" applyFill="1" applyAlignment="1">
      <alignment horizontal="center"/>
    </xf>
    <xf numFmtId="0" fontId="79" fillId="24" borderId="0" xfId="0" applyFont="1" applyFill="1" applyAlignment="1">
      <alignment vertical="top"/>
    </xf>
    <xf numFmtId="0" fontId="80" fillId="24" borderId="0" xfId="0" applyFont="1" applyFill="1" applyAlignment="1">
      <alignment horizontal="center"/>
    </xf>
    <xf numFmtId="0" fontId="81" fillId="24" borderId="0" xfId="0" applyFont="1" applyFill="1" applyAlignment="1">
      <alignment horizontal="center" vertical="center"/>
    </xf>
    <xf numFmtId="0" fontId="79" fillId="24" borderId="0" xfId="0" applyFont="1" applyFill="1" applyAlignment="1">
      <alignment horizontal="left" vertical="top"/>
    </xf>
    <xf numFmtId="0" fontId="82" fillId="24" borderId="0" xfId="0" applyFont="1" applyFill="1" applyAlignment="1">
      <alignment horizontal="left" vertical="center"/>
    </xf>
    <xf numFmtId="0" fontId="83" fillId="24" borderId="0" xfId="0" applyFont="1" applyFill="1"/>
    <xf numFmtId="0" fontId="82" fillId="24" borderId="0" xfId="0" applyFont="1" applyFill="1"/>
    <xf numFmtId="0" fontId="80" fillId="24" borderId="0" xfId="0" applyFont="1" applyFill="1" applyAlignment="1">
      <alignment horizontal="center" vertical="center"/>
    </xf>
    <xf numFmtId="0" fontId="75" fillId="23" borderId="0" xfId="0" applyFont="1" applyFill="1"/>
    <xf numFmtId="0" fontId="83" fillId="23" borderId="0" xfId="0" applyFont="1" applyFill="1"/>
    <xf numFmtId="0" fontId="75" fillId="27" borderId="0" xfId="0" applyFont="1" applyFill="1"/>
    <xf numFmtId="164" fontId="85" fillId="23" borderId="0" xfId="0" applyNumberFormat="1" applyFont="1" applyFill="1"/>
    <xf numFmtId="164" fontId="86" fillId="23" borderId="0" xfId="0" applyNumberFormat="1" applyFont="1" applyFill="1"/>
    <xf numFmtId="169" fontId="87" fillId="24" borderId="0" xfId="0" applyNumberFormat="1" applyFont="1" applyFill="1" applyProtection="1">
      <protection hidden="1"/>
    </xf>
    <xf numFmtId="169" fontId="86" fillId="24" borderId="0" xfId="0" applyNumberFormat="1" applyFont="1" applyFill="1" applyProtection="1">
      <protection hidden="1"/>
    </xf>
    <xf numFmtId="0" fontId="84" fillId="24" borderId="0" xfId="0" applyFont="1" applyFill="1"/>
    <xf numFmtId="0" fontId="80" fillId="24" borderId="0" xfId="0" applyFont="1" applyFill="1"/>
    <xf numFmtId="0" fontId="81" fillId="24" borderId="0" xfId="0" applyFont="1" applyFill="1"/>
    <xf numFmtId="0" fontId="75" fillId="24" borderId="0" xfId="0" applyFont="1" applyFill="1" applyAlignment="1">
      <alignment horizontal="center" vertical="top"/>
    </xf>
    <xf numFmtId="0" fontId="57" fillId="19" borderId="0" xfId="1" applyFont="1" applyFill="1"/>
    <xf numFmtId="0" fontId="0" fillId="21" borderId="0" xfId="0" applyFill="1" applyAlignment="1">
      <alignment horizontal="center" vertical="center"/>
    </xf>
    <xf numFmtId="0" fontId="1" fillId="21" borderId="0" xfId="0" applyFont="1" applyFill="1" applyAlignment="1">
      <alignment horizontal="center" vertical="center"/>
    </xf>
    <xf numFmtId="1" fontId="0" fillId="21" borderId="0" xfId="0" applyNumberFormat="1" applyFill="1" applyAlignment="1">
      <alignment horizontal="center" vertical="center"/>
    </xf>
    <xf numFmtId="0" fontId="57" fillId="24" borderId="0" xfId="0" applyFont="1" applyFill="1"/>
    <xf numFmtId="0" fontId="18" fillId="24" borderId="0" xfId="0" applyFont="1" applyFill="1" applyAlignment="1">
      <alignment horizontal="center" vertical="center"/>
    </xf>
    <xf numFmtId="0" fontId="7" fillId="24" borderId="0" xfId="0" applyFont="1" applyFill="1" applyAlignment="1">
      <alignment horizontal="left" vertical="center"/>
    </xf>
    <xf numFmtId="0" fontId="39" fillId="24" borderId="0" xfId="0" applyFont="1" applyFill="1" applyAlignment="1">
      <alignment horizontal="center"/>
    </xf>
    <xf numFmtId="0" fontId="9" fillId="24" borderId="0" xfId="0" applyFont="1" applyFill="1" applyAlignment="1">
      <alignment horizontal="center" vertical="top"/>
    </xf>
    <xf numFmtId="0" fontId="90" fillId="24" borderId="0" xfId="0" applyFont="1" applyFill="1"/>
    <xf numFmtId="2" fontId="91" fillId="24" borderId="0" xfId="0" applyNumberFormat="1" applyFont="1" applyFill="1"/>
    <xf numFmtId="0" fontId="91" fillId="24" borderId="0" xfId="0" applyFont="1" applyFill="1"/>
    <xf numFmtId="0" fontId="92" fillId="24" borderId="0" xfId="0" applyFont="1" applyFill="1"/>
    <xf numFmtId="0" fontId="8" fillId="24" borderId="0" xfId="0" applyFont="1" applyFill="1" applyAlignment="1">
      <alignment horizontal="left" vertical="center"/>
    </xf>
    <xf numFmtId="0" fontId="7" fillId="24" borderId="0" xfId="0" applyFont="1" applyFill="1" applyAlignment="1">
      <alignment horizontal="center" vertical="center"/>
    </xf>
    <xf numFmtId="169" fontId="53" fillId="22" borderId="0" xfId="0" applyNumberFormat="1" applyFont="1" applyFill="1" applyAlignment="1" applyProtection="1">
      <alignment horizontal="center"/>
      <protection locked="0" hidden="1"/>
    </xf>
    <xf numFmtId="2" fontId="53" fillId="22" borderId="0" xfId="0" applyNumberFormat="1" applyFont="1" applyFill="1" applyAlignment="1" applyProtection="1">
      <alignment horizontal="center"/>
      <protection locked="0" hidden="1"/>
    </xf>
    <xf numFmtId="0" fontId="53" fillId="22" borderId="0" xfId="0" applyFont="1" applyFill="1" applyAlignment="1" applyProtection="1">
      <alignment horizontal="center"/>
      <protection locked="0" hidden="1"/>
    </xf>
    <xf numFmtId="14" fontId="53" fillId="22" borderId="0" xfId="0" applyNumberFormat="1" applyFont="1" applyFill="1" applyProtection="1">
      <protection locked="0" hidden="1"/>
    </xf>
    <xf numFmtId="2" fontId="53" fillId="22" borderId="0" xfId="0" applyNumberFormat="1" applyFont="1" applyFill="1" applyProtection="1">
      <protection locked="0" hidden="1"/>
    </xf>
    <xf numFmtId="0" fontId="53" fillId="22" borderId="0" xfId="0" applyFont="1" applyFill="1" applyProtection="1">
      <protection locked="0" hidden="1"/>
    </xf>
    <xf numFmtId="169" fontId="53" fillId="22" borderId="0" xfId="0" applyNumberFormat="1" applyFont="1" applyFill="1" applyProtection="1">
      <protection locked="0" hidden="1"/>
    </xf>
    <xf numFmtId="169" fontId="53" fillId="22" borderId="0" xfId="0" applyNumberFormat="1" applyFont="1" applyFill="1"/>
    <xf numFmtId="2" fontId="53" fillId="22" borderId="0" xfId="0" applyNumberFormat="1" applyFont="1" applyFill="1"/>
    <xf numFmtId="0" fontId="53" fillId="22" borderId="0" xfId="0" applyFont="1" applyFill="1"/>
    <xf numFmtId="0" fontId="93" fillId="24" borderId="0" xfId="0" applyFont="1" applyFill="1"/>
    <xf numFmtId="1" fontId="94" fillId="24" borderId="0" xfId="0" applyNumberFormat="1" applyFont="1" applyFill="1" applyAlignment="1">
      <alignment horizontal="center" vertical="center"/>
    </xf>
    <xf numFmtId="0" fontId="68" fillId="36" borderId="0" xfId="0" applyFont="1" applyFill="1"/>
    <xf numFmtId="0" fontId="39" fillId="36" borderId="0" xfId="0" applyFont="1" applyFill="1"/>
    <xf numFmtId="0" fontId="95" fillId="36" borderId="0" xfId="0" applyFont="1" applyFill="1"/>
    <xf numFmtId="0" fontId="97" fillId="36" borderId="0" xfId="0" applyFont="1" applyFill="1"/>
    <xf numFmtId="172" fontId="95" fillId="36" borderId="0" xfId="0" applyNumberFormat="1" applyFont="1" applyFill="1" applyAlignment="1">
      <alignment horizontal="center" vertical="center"/>
    </xf>
    <xf numFmtId="0" fontId="1" fillId="0" borderId="0" xfId="0" applyFont="1" applyAlignment="1">
      <alignment wrapText="1"/>
    </xf>
    <xf numFmtId="0" fontId="9" fillId="24" borderId="0" xfId="0" applyFont="1" applyFill="1" applyAlignment="1">
      <alignment horizontal="center" vertical="center"/>
    </xf>
    <xf numFmtId="170" fontId="78" fillId="0" borderId="20" xfId="0" applyNumberFormat="1"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2" fillId="24" borderId="0" xfId="0" applyFont="1" applyFill="1" applyAlignment="1">
      <alignment horizontal="center" vertical="top"/>
    </xf>
    <xf numFmtId="1" fontId="82" fillId="0" borderId="1" xfId="0" applyNumberFormat="1" applyFont="1" applyBorder="1" applyAlignment="1">
      <alignment horizontal="center" vertical="center"/>
    </xf>
    <xf numFmtId="168" fontId="4" fillId="16" borderId="11" xfId="0" applyNumberFormat="1" applyFont="1" applyFill="1" applyBorder="1" applyAlignment="1">
      <alignment horizontal="right" vertical="center"/>
    </xf>
    <xf numFmtId="0" fontId="4" fillId="16" borderId="10" xfId="0" applyFont="1" applyFill="1" applyBorder="1" applyAlignment="1">
      <alignment horizontal="left" vertical="center"/>
    </xf>
    <xf numFmtId="168" fontId="4" fillId="16" borderId="9" xfId="0" applyNumberFormat="1" applyFont="1" applyFill="1" applyBorder="1" applyAlignment="1">
      <alignment horizontal="right" vertical="center" wrapText="1"/>
    </xf>
    <xf numFmtId="0" fontId="4" fillId="16" borderId="7" xfId="0" applyFont="1" applyFill="1" applyBorder="1" applyAlignment="1">
      <alignment horizontal="left" vertical="center" wrapText="1"/>
    </xf>
    <xf numFmtId="49" fontId="90" fillId="24" borderId="0" xfId="0" applyNumberFormat="1" applyFont="1" applyFill="1"/>
    <xf numFmtId="0" fontId="4" fillId="37" borderId="0" xfId="1" applyFont="1" applyFill="1" applyAlignment="1">
      <alignment horizontal="center" vertical="center"/>
    </xf>
    <xf numFmtId="0" fontId="1" fillId="35" borderId="0" xfId="1" applyFill="1"/>
    <xf numFmtId="0" fontId="4" fillId="35" borderId="0" xfId="1" applyFont="1" applyFill="1" applyAlignment="1">
      <alignment horizontal="right"/>
    </xf>
    <xf numFmtId="0" fontId="1" fillId="35" borderId="0" xfId="1" applyFill="1" applyAlignment="1">
      <alignment horizontal="left"/>
    </xf>
    <xf numFmtId="0" fontId="3" fillId="35" borderId="0" xfId="1" applyFont="1" applyFill="1"/>
    <xf numFmtId="0" fontId="4" fillId="35" borderId="0" xfId="1" applyFont="1" applyFill="1"/>
    <xf numFmtId="0" fontId="1" fillId="35" borderId="14" xfId="1" applyFill="1" applyBorder="1"/>
    <xf numFmtId="0" fontId="1" fillId="35" borderId="13" xfId="1" applyFill="1" applyBorder="1" applyAlignment="1">
      <alignment horizontal="justify"/>
    </xf>
    <xf numFmtId="0" fontId="1" fillId="35" borderId="13" xfId="1" applyFill="1" applyBorder="1"/>
    <xf numFmtId="0" fontId="1" fillId="35" borderId="12" xfId="1" applyFill="1" applyBorder="1"/>
    <xf numFmtId="0" fontId="3" fillId="35" borderId="0" xfId="1" applyFont="1" applyFill="1" applyAlignment="1">
      <alignment horizontal="left"/>
    </xf>
    <xf numFmtId="0" fontId="3" fillId="35" borderId="11" xfId="1" applyFont="1" applyFill="1" applyBorder="1"/>
    <xf numFmtId="0" fontId="4" fillId="35" borderId="10" xfId="1" applyFont="1" applyFill="1" applyBorder="1"/>
    <xf numFmtId="0" fontId="1" fillId="35" borderId="11" xfId="1" applyFill="1" applyBorder="1" applyAlignment="1">
      <alignment horizontal="justify"/>
    </xf>
    <xf numFmtId="0" fontId="1" fillId="35" borderId="10" xfId="1" applyFill="1" applyBorder="1"/>
    <xf numFmtId="0" fontId="4" fillId="35" borderId="0" xfId="1" applyFont="1" applyFill="1" applyAlignment="1">
      <alignment wrapText="1"/>
    </xf>
    <xf numFmtId="0" fontId="4" fillId="35" borderId="10" xfId="1" applyFont="1" applyFill="1" applyBorder="1" applyAlignment="1">
      <alignment vertical="top"/>
    </xf>
    <xf numFmtId="0" fontId="1" fillId="35" borderId="9" xfId="1" applyFill="1" applyBorder="1" applyAlignment="1">
      <alignment horizontal="justify"/>
    </xf>
    <xf numFmtId="0" fontId="1" fillId="35" borderId="8" xfId="1" applyFill="1" applyBorder="1"/>
    <xf numFmtId="0" fontId="1" fillId="35" borderId="7" xfId="1" applyFill="1" applyBorder="1"/>
    <xf numFmtId="0" fontId="8" fillId="37" borderId="0" xfId="1" applyFont="1" applyFill="1" applyAlignment="1" applyProtection="1">
      <alignment horizontal="center" vertical="center"/>
      <protection locked="0"/>
    </xf>
    <xf numFmtId="0" fontId="8" fillId="38" borderId="0" xfId="1" applyFont="1" applyFill="1" applyAlignment="1" applyProtection="1">
      <alignment horizontal="center" vertical="center"/>
      <protection locked="0"/>
    </xf>
    <xf numFmtId="0" fontId="9" fillId="30" borderId="0" xfId="1" applyFont="1" applyFill="1" applyAlignment="1">
      <alignment horizontal="left"/>
    </xf>
    <xf numFmtId="0" fontId="1" fillId="30" borderId="0" xfId="1" applyFill="1"/>
    <xf numFmtId="0" fontId="1" fillId="30" borderId="0" xfId="1" applyFill="1" applyAlignment="1">
      <alignment vertical="top"/>
    </xf>
    <xf numFmtId="0" fontId="1" fillId="30" borderId="0" xfId="1" applyFill="1" applyAlignment="1">
      <alignment vertical="top" wrapText="1"/>
    </xf>
    <xf numFmtId="0" fontId="1" fillId="30" borderId="0" xfId="1" applyFill="1" applyAlignment="1">
      <alignment horizontal="left"/>
    </xf>
    <xf numFmtId="0" fontId="4" fillId="30" borderId="0" xfId="1" applyFont="1" applyFill="1" applyAlignment="1">
      <alignment horizontal="left" vertical="center"/>
    </xf>
    <xf numFmtId="0" fontId="4" fillId="30" borderId="0" xfId="1" applyFont="1" applyFill="1" applyAlignment="1">
      <alignment vertical="center"/>
    </xf>
    <xf numFmtId="0" fontId="4" fillId="30" borderId="0" xfId="1" applyFont="1" applyFill="1" applyAlignment="1">
      <alignment horizontal="center" vertical="center"/>
    </xf>
    <xf numFmtId="0" fontId="4" fillId="30" borderId="0" xfId="1" applyFont="1" applyFill="1" applyAlignment="1">
      <alignment horizontal="left"/>
    </xf>
    <xf numFmtId="0" fontId="4" fillId="30" borderId="0" xfId="1" applyFont="1" applyFill="1"/>
    <xf numFmtId="0" fontId="1" fillId="30" borderId="0" xfId="1" applyFill="1" applyAlignment="1">
      <alignment horizontal="justify"/>
    </xf>
    <xf numFmtId="0" fontId="4" fillId="30" borderId="0" xfId="1" applyFont="1" applyFill="1" applyAlignment="1">
      <alignment horizontal="right" vertical="center"/>
    </xf>
    <xf numFmtId="164" fontId="53" fillId="22" borderId="0" xfId="0" applyNumberFormat="1" applyFont="1" applyFill="1" applyAlignment="1" applyProtection="1">
      <alignment horizontal="center"/>
      <protection locked="0" hidden="1"/>
    </xf>
    <xf numFmtId="2" fontId="53" fillId="22" borderId="0" xfId="0" applyNumberFormat="1" applyFont="1" applyFill="1" applyAlignment="1">
      <alignment horizontal="center"/>
    </xf>
    <xf numFmtId="0" fontId="53" fillId="22" borderId="0" xfId="0" applyFont="1" applyFill="1" applyAlignment="1">
      <alignment horizontal="center"/>
    </xf>
    <xf numFmtId="164" fontId="53" fillId="22" borderId="0" xfId="0" applyNumberFormat="1" applyFont="1" applyFill="1" applyProtection="1">
      <protection locked="0" hidden="1"/>
    </xf>
    <xf numFmtId="164" fontId="53" fillId="22" borderId="0" xfId="0" applyNumberFormat="1" applyFont="1" applyFill="1"/>
    <xf numFmtId="0" fontId="1" fillId="36" borderId="0" xfId="0" applyFont="1" applyFill="1"/>
    <xf numFmtId="0" fontId="1" fillId="36" borderId="0" xfId="0" applyFont="1" applyFill="1" applyAlignment="1">
      <alignment horizontal="center" vertical="center"/>
    </xf>
    <xf numFmtId="0" fontId="9" fillId="24" borderId="0" xfId="0" applyFont="1" applyFill="1" applyAlignment="1">
      <alignment horizontal="left"/>
    </xf>
    <xf numFmtId="22" fontId="93" fillId="24" borderId="0" xfId="0" applyNumberFormat="1" applyFont="1" applyFill="1"/>
    <xf numFmtId="2" fontId="103" fillId="24" borderId="0" xfId="0" applyNumberFormat="1" applyFont="1" applyFill="1"/>
    <xf numFmtId="0" fontId="103" fillId="24" borderId="0" xfId="0" applyFont="1" applyFill="1"/>
    <xf numFmtId="0" fontId="104" fillId="24" borderId="0" xfId="0" applyFont="1" applyFill="1"/>
    <xf numFmtId="2" fontId="76" fillId="24" borderId="0" xfId="0" applyNumberFormat="1" applyFont="1" applyFill="1"/>
    <xf numFmtId="2" fontId="4" fillId="15" borderId="2" xfId="0" applyNumberFormat="1" applyFont="1" applyFill="1" applyBorder="1" applyAlignment="1" applyProtection="1">
      <alignment horizontal="center"/>
      <protection hidden="1"/>
    </xf>
    <xf numFmtId="0" fontId="57" fillId="19" borderId="0" xfId="1" applyFont="1" applyFill="1" applyProtection="1">
      <protection hidden="1"/>
    </xf>
    <xf numFmtId="14" fontId="57" fillId="19" borderId="0" xfId="1" applyNumberFormat="1" applyFont="1" applyFill="1" applyProtection="1">
      <protection hidden="1"/>
    </xf>
    <xf numFmtId="2" fontId="57" fillId="19" borderId="0" xfId="1" applyNumberFormat="1" applyFont="1" applyFill="1" applyProtection="1">
      <protection hidden="1"/>
    </xf>
    <xf numFmtId="0" fontId="57" fillId="33" borderId="1" xfId="1" applyFont="1" applyFill="1" applyBorder="1" applyProtection="1">
      <protection locked="0"/>
    </xf>
    <xf numFmtId="0" fontId="57" fillId="19" borderId="0" xfId="1" applyFont="1" applyFill="1" applyProtection="1">
      <protection locked="0"/>
    </xf>
    <xf numFmtId="0" fontId="57" fillId="32" borderId="1" xfId="1" applyFont="1" applyFill="1" applyBorder="1" applyProtection="1">
      <protection locked="0"/>
    </xf>
    <xf numFmtId="172" fontId="57" fillId="34" borderId="1" xfId="1" applyNumberFormat="1" applyFont="1" applyFill="1" applyBorder="1" applyAlignment="1" applyProtection="1">
      <alignment horizontal="center"/>
      <protection locked="0"/>
    </xf>
    <xf numFmtId="2" fontId="57" fillId="19" borderId="0" xfId="1" applyNumberFormat="1" applyFont="1" applyFill="1"/>
    <xf numFmtId="14" fontId="57" fillId="19" borderId="0" xfId="1" applyNumberFormat="1" applyFont="1" applyFill="1"/>
    <xf numFmtId="0" fontId="41" fillId="19" borderId="0" xfId="1" applyFont="1" applyFill="1"/>
    <xf numFmtId="0" fontId="1" fillId="19" borderId="0" xfId="1" applyFill="1" applyAlignment="1" applyProtection="1">
      <alignment horizontal="center" vertical="center"/>
      <protection hidden="1"/>
    </xf>
    <xf numFmtId="0" fontId="1" fillId="19" borderId="0" xfId="1" applyFill="1" applyAlignment="1" applyProtection="1">
      <alignment horizontal="center"/>
      <protection hidden="1"/>
    </xf>
    <xf numFmtId="0" fontId="4" fillId="19" borderId="0" xfId="1" applyFont="1" applyFill="1" applyAlignment="1" applyProtection="1">
      <alignment horizontal="center" vertical="center"/>
      <protection hidden="1"/>
    </xf>
    <xf numFmtId="2" fontId="1" fillId="22" borderId="0" xfId="1" applyNumberFormat="1" applyFill="1" applyAlignment="1" applyProtection="1">
      <alignment horizontal="center" vertical="center"/>
      <protection hidden="1"/>
    </xf>
    <xf numFmtId="2" fontId="1" fillId="19" borderId="0" xfId="1" applyNumberFormat="1" applyFill="1" applyAlignment="1" applyProtection="1">
      <alignment horizontal="center"/>
      <protection hidden="1"/>
    </xf>
    <xf numFmtId="0" fontId="4" fillId="19" borderId="0" xfId="1" applyFont="1" applyFill="1" applyAlignment="1">
      <alignment horizontal="center" vertical="center"/>
    </xf>
    <xf numFmtId="0" fontId="1" fillId="33" borderId="1" xfId="1" applyFill="1" applyBorder="1" applyAlignment="1">
      <alignment horizontal="center"/>
    </xf>
    <xf numFmtId="171" fontId="105" fillId="22" borderId="0" xfId="1" applyNumberFormat="1" applyFont="1" applyFill="1" applyAlignment="1">
      <alignment horizontal="center" vertical="center"/>
    </xf>
    <xf numFmtId="0" fontId="1" fillId="32" borderId="1" xfId="1" applyFill="1" applyBorder="1" applyAlignment="1">
      <alignment horizontal="center"/>
    </xf>
    <xf numFmtId="0" fontId="1" fillId="19" borderId="0" xfId="1" applyFill="1" applyAlignment="1">
      <alignment horizontal="center" vertical="center"/>
    </xf>
    <xf numFmtId="0" fontId="1" fillId="34" borderId="1" xfId="1" applyFill="1" applyBorder="1" applyAlignment="1">
      <alignment horizontal="center"/>
    </xf>
    <xf numFmtId="0" fontId="1" fillId="19" borderId="0" xfId="1" applyFill="1" applyAlignment="1">
      <alignment horizontal="center"/>
    </xf>
    <xf numFmtId="14" fontId="1" fillId="19" borderId="0" xfId="1" applyNumberFormat="1" applyFill="1" applyAlignment="1">
      <alignment horizontal="center" vertical="center"/>
    </xf>
    <xf numFmtId="14" fontId="1" fillId="19" borderId="0" xfId="1" applyNumberFormat="1" applyFill="1" applyAlignment="1">
      <alignment horizontal="center"/>
    </xf>
    <xf numFmtId="0" fontId="106" fillId="19" borderId="0" xfId="1" applyFont="1" applyFill="1" applyProtection="1">
      <protection hidden="1"/>
    </xf>
    <xf numFmtId="0" fontId="106" fillId="19" borderId="0" xfId="1" applyFont="1" applyFill="1" applyAlignment="1">
      <alignment horizontal="center" vertical="center"/>
    </xf>
    <xf numFmtId="0" fontId="106" fillId="19" borderId="0" xfId="1" applyFont="1" applyFill="1" applyAlignment="1">
      <alignment horizontal="center"/>
    </xf>
    <xf numFmtId="0" fontId="106" fillId="19" borderId="0" xfId="1" applyFont="1" applyFill="1"/>
    <xf numFmtId="14" fontId="76" fillId="24" borderId="0" xfId="0" applyNumberFormat="1" applyFont="1" applyFill="1"/>
    <xf numFmtId="0" fontId="107" fillId="20" borderId="0" xfId="0" applyFont="1" applyFill="1" applyAlignment="1">
      <alignment horizontal="center" vertical="center"/>
    </xf>
    <xf numFmtId="0" fontId="108" fillId="30" borderId="0" xfId="0" applyFont="1" applyFill="1" applyAlignment="1">
      <alignment horizontal="left" vertical="center"/>
    </xf>
    <xf numFmtId="0" fontId="60" fillId="15" borderId="0" xfId="0" applyFont="1" applyFill="1" applyAlignment="1">
      <alignment horizontal="center" vertical="center" wrapText="1"/>
    </xf>
    <xf numFmtId="0" fontId="60" fillId="15" borderId="0" xfId="0" applyFont="1" applyFill="1" applyAlignment="1">
      <alignment horizontal="center" vertical="center"/>
    </xf>
    <xf numFmtId="0" fontId="64" fillId="15" borderId="0" xfId="0" applyFont="1" applyFill="1" applyAlignment="1">
      <alignment horizontal="center" vertical="center"/>
    </xf>
    <xf numFmtId="0" fontId="57" fillId="15" borderId="0" xfId="0" applyFont="1" applyFill="1" applyAlignment="1">
      <alignment horizontal="center" vertical="center"/>
    </xf>
    <xf numFmtId="0" fontId="66" fillId="22" borderId="0" xfId="0" applyFont="1" applyFill="1" applyAlignment="1">
      <alignment horizontal="right" vertical="center"/>
    </xf>
    <xf numFmtId="0" fontId="0" fillId="24" borderId="0" xfId="0" applyFill="1"/>
    <xf numFmtId="0" fontId="14" fillId="24" borderId="0" xfId="0" applyFont="1" applyFill="1" applyAlignment="1" applyProtection="1">
      <alignment horizontal="center" vertical="center"/>
      <protection locked="0"/>
    </xf>
    <xf numFmtId="0" fontId="4" fillId="24" borderId="0" xfId="0" applyFont="1" applyFill="1" applyAlignment="1" applyProtection="1">
      <alignment horizontal="center" vertical="center"/>
      <protection locked="0"/>
    </xf>
    <xf numFmtId="0" fontId="0" fillId="15" borderId="0" xfId="0" applyFill="1"/>
    <xf numFmtId="0" fontId="4" fillId="15" borderId="0" xfId="0" applyFont="1" applyFill="1" applyAlignment="1">
      <alignment horizontal="center"/>
    </xf>
    <xf numFmtId="0" fontId="1" fillId="15" borderId="0" xfId="0" applyFont="1" applyFill="1" applyAlignment="1">
      <alignment horizontal="center"/>
    </xf>
    <xf numFmtId="0" fontId="0" fillId="15" borderId="0" xfId="0" applyFill="1" applyAlignment="1">
      <alignment horizontal="center"/>
    </xf>
    <xf numFmtId="0" fontId="0" fillId="15" borderId="0" xfId="0" applyFill="1" applyAlignment="1">
      <alignment horizontal="center" vertical="center"/>
    </xf>
    <xf numFmtId="0" fontId="0" fillId="38" borderId="0" xfId="0" applyFill="1"/>
    <xf numFmtId="0" fontId="0" fillId="38" borderId="0" xfId="0" applyFill="1" applyAlignment="1">
      <alignment horizontal="center" vertical="center"/>
    </xf>
    <xf numFmtId="0" fontId="4" fillId="38" borderId="0" xfId="0" applyFont="1" applyFill="1" applyAlignment="1">
      <alignment horizontal="center"/>
    </xf>
    <xf numFmtId="0" fontId="0" fillId="38" borderId="0" xfId="0" applyFill="1" applyAlignment="1">
      <alignment horizontal="center"/>
    </xf>
    <xf numFmtId="170" fontId="6" fillId="0" borderId="20" xfId="0" applyNumberFormat="1" applyFont="1" applyBorder="1" applyAlignment="1" applyProtection="1">
      <alignment horizontal="center" vertical="center"/>
      <protection locked="0"/>
    </xf>
    <xf numFmtId="0" fontId="110" fillId="15" borderId="0" xfId="0" applyFont="1" applyFill="1" applyAlignment="1">
      <alignment horizontal="center" vertical="center"/>
    </xf>
    <xf numFmtId="0" fontId="1" fillId="0" borderId="0" xfId="0" applyFont="1" applyAlignment="1">
      <alignment vertical="top"/>
    </xf>
    <xf numFmtId="0" fontId="111" fillId="39" borderId="0" xfId="0" applyFont="1" applyFill="1" applyAlignment="1">
      <alignment horizontal="left" vertical="center"/>
    </xf>
    <xf numFmtId="0" fontId="8" fillId="39" borderId="0" xfId="0" applyFont="1" applyFill="1"/>
    <xf numFmtId="0" fontId="0" fillId="39" borderId="0" xfId="0" applyFill="1"/>
    <xf numFmtId="0" fontId="0" fillId="39" borderId="0" xfId="0" applyFill="1" applyAlignment="1">
      <alignment horizontal="left" vertical="center"/>
    </xf>
    <xf numFmtId="0" fontId="8" fillId="40" borderId="0" xfId="0" applyFont="1" applyFill="1" applyAlignment="1">
      <alignment horizontal="left" vertical="center"/>
    </xf>
    <xf numFmtId="0" fontId="0" fillId="40" borderId="0" xfId="0" applyFill="1" applyAlignment="1">
      <alignment horizontal="left" vertical="center"/>
    </xf>
    <xf numFmtId="0" fontId="4" fillId="39" borderId="0" xfId="0" applyFont="1" applyFill="1" applyAlignment="1">
      <alignment horizontal="center" vertical="center"/>
    </xf>
    <xf numFmtId="0" fontId="68" fillId="39" borderId="0" xfId="0" applyFont="1" applyFill="1" applyAlignment="1">
      <alignment horizontal="center" vertical="center"/>
    </xf>
    <xf numFmtId="0" fontId="68" fillId="0" borderId="21" xfId="0" applyFont="1" applyBorder="1" applyAlignment="1">
      <alignment horizontal="center" vertical="center"/>
    </xf>
    <xf numFmtId="0" fontId="114" fillId="39" borderId="2" xfId="0" applyFont="1" applyFill="1" applyBorder="1" applyAlignment="1">
      <alignment horizontal="left" vertical="center"/>
    </xf>
    <xf numFmtId="0" fontId="115" fillId="39" borderId="19" xfId="0" applyFont="1" applyFill="1" applyBorder="1" applyAlignment="1">
      <alignment horizontal="left" vertical="center"/>
    </xf>
    <xf numFmtId="0" fontId="115" fillId="39" borderId="21" xfId="0" applyFont="1" applyFill="1" applyBorder="1" applyAlignment="1">
      <alignment horizontal="left" vertical="center"/>
    </xf>
    <xf numFmtId="0" fontId="0" fillId="39" borderId="0" xfId="0" applyFill="1" applyProtection="1">
      <protection locked="0"/>
    </xf>
    <xf numFmtId="0" fontId="113" fillId="39" borderId="0" xfId="0" applyFont="1" applyFill="1" applyAlignment="1">
      <alignment horizontal="right"/>
    </xf>
    <xf numFmtId="0" fontId="113" fillId="39" borderId="0" xfId="0" applyFont="1" applyFill="1"/>
    <xf numFmtId="0" fontId="113" fillId="39" borderId="0" xfId="0" applyFont="1" applyFill="1" applyAlignment="1">
      <alignment horizontal="right" vertical="center"/>
    </xf>
    <xf numFmtId="0" fontId="113" fillId="39" borderId="0" xfId="0" applyFont="1" applyFill="1" applyAlignment="1">
      <alignment horizontal="left" vertical="center"/>
    </xf>
    <xf numFmtId="0" fontId="112" fillId="39" borderId="0" xfId="0" applyFont="1" applyFill="1" applyAlignment="1">
      <alignment horizontal="right" vertical="center"/>
    </xf>
    <xf numFmtId="0" fontId="112" fillId="39" borderId="0" xfId="0" applyFont="1" applyFill="1" applyAlignment="1">
      <alignment horizontal="center" vertical="center"/>
    </xf>
    <xf numFmtId="0" fontId="57" fillId="39" borderId="0" xfId="0" applyFont="1" applyFill="1" applyAlignment="1">
      <alignment horizontal="right" vertical="center"/>
    </xf>
    <xf numFmtId="0" fontId="57" fillId="39" borderId="0" xfId="0" applyFont="1" applyFill="1" applyAlignment="1">
      <alignment horizontal="left" vertical="center"/>
    </xf>
    <xf numFmtId="0" fontId="57" fillId="39" borderId="0" xfId="0" applyFont="1" applyFill="1" applyAlignment="1">
      <alignment horizontal="right"/>
    </xf>
    <xf numFmtId="0" fontId="57" fillId="39" borderId="0" xfId="0" applyFont="1" applyFill="1"/>
    <xf numFmtId="0" fontId="116" fillId="39" borderId="0" xfId="0" applyFont="1" applyFill="1" applyAlignment="1">
      <alignment horizontal="center" vertical="center"/>
    </xf>
    <xf numFmtId="0" fontId="116" fillId="39" borderId="2" xfId="0" applyFont="1" applyFill="1" applyBorder="1" applyAlignment="1">
      <alignment horizontal="center" vertical="center"/>
    </xf>
    <xf numFmtId="2" fontId="4" fillId="13" borderId="1" xfId="0" applyNumberFormat="1" applyFont="1" applyFill="1" applyBorder="1" applyAlignment="1">
      <alignment horizontal="right"/>
    </xf>
    <xf numFmtId="0" fontId="95" fillId="36" borderId="0" xfId="0" applyFont="1" applyFill="1" applyAlignment="1">
      <alignment horizontal="center" vertical="center"/>
    </xf>
    <xf numFmtId="173" fontId="97" fillId="36" borderId="0" xfId="0" applyNumberFormat="1" applyFont="1" applyFill="1" applyAlignment="1">
      <alignment horizontal="center" vertical="center"/>
    </xf>
    <xf numFmtId="173" fontId="95" fillId="36" borderId="0" xfId="0" applyNumberFormat="1" applyFont="1" applyFill="1" applyAlignment="1">
      <alignment horizontal="center" vertical="center"/>
    </xf>
    <xf numFmtId="168" fontId="95" fillId="36" borderId="0" xfId="0" applyNumberFormat="1" applyFont="1" applyFill="1"/>
    <xf numFmtId="168" fontId="95" fillId="36" borderId="0" xfId="0" applyNumberFormat="1" applyFont="1" applyFill="1" applyAlignment="1">
      <alignment horizontal="center" vertical="center"/>
    </xf>
    <xf numFmtId="168" fontId="96" fillId="36" borderId="0" xfId="0" applyNumberFormat="1" applyFont="1" applyFill="1"/>
    <xf numFmtId="168" fontId="97" fillId="36" borderId="0" xfId="0" applyNumberFormat="1" applyFont="1" applyFill="1"/>
    <xf numFmtId="168" fontId="1" fillId="36" borderId="0" xfId="0" applyNumberFormat="1" applyFont="1" applyFill="1"/>
    <xf numFmtId="168" fontId="1" fillId="36" borderId="0" xfId="0" applyNumberFormat="1" applyFont="1" applyFill="1" applyAlignment="1">
      <alignment horizontal="center" vertical="center"/>
    </xf>
    <xf numFmtId="168" fontId="68" fillId="36" borderId="0" xfId="0" applyNumberFormat="1" applyFont="1" applyFill="1"/>
    <xf numFmtId="168" fontId="68" fillId="36" borderId="0" xfId="0" applyNumberFormat="1" applyFont="1" applyFill="1" applyAlignment="1">
      <alignment horizontal="center" vertical="center"/>
    </xf>
    <xf numFmtId="168" fontId="39" fillId="36" borderId="0" xfId="0" applyNumberFormat="1" applyFont="1" applyFill="1"/>
    <xf numFmtId="173" fontId="39" fillId="0" borderId="0" xfId="0" applyNumberFormat="1" applyFont="1" applyAlignment="1">
      <alignment horizontal="center" vertical="center"/>
    </xf>
    <xf numFmtId="168" fontId="39" fillId="36" borderId="0" xfId="0" applyNumberFormat="1" applyFont="1" applyFill="1" applyAlignment="1" applyProtection="1">
      <alignment horizontal="center" vertical="center"/>
      <protection locked="0"/>
    </xf>
    <xf numFmtId="168" fontId="68" fillId="36" borderId="0" xfId="0" applyNumberFormat="1" applyFont="1" applyFill="1" applyAlignment="1">
      <alignment horizontal="left" vertical="center"/>
    </xf>
    <xf numFmtId="168" fontId="17" fillId="0" borderId="1" xfId="0" applyNumberFormat="1" applyFont="1" applyBorder="1" applyAlignment="1" applyProtection="1">
      <alignment horizontal="center" vertical="center"/>
      <protection locked="0"/>
    </xf>
    <xf numFmtId="168" fontId="17" fillId="36" borderId="0" xfId="0" applyNumberFormat="1" applyFont="1" applyFill="1" applyAlignment="1">
      <alignment horizontal="left" vertical="center"/>
    </xf>
    <xf numFmtId="168" fontId="1" fillId="41" borderId="12" xfId="0" applyNumberFormat="1" applyFont="1" applyFill="1" applyBorder="1"/>
    <xf numFmtId="168" fontId="18" fillId="41" borderId="10" xfId="0" applyNumberFormat="1" applyFont="1" applyFill="1" applyBorder="1" applyAlignment="1">
      <alignment horizontal="left" vertical="center" wrapText="1"/>
    </xf>
    <xf numFmtId="168" fontId="1" fillId="41" borderId="7" xfId="0" applyNumberFormat="1" applyFont="1" applyFill="1" applyBorder="1" applyAlignment="1">
      <alignment wrapText="1"/>
    </xf>
    <xf numFmtId="168" fontId="1" fillId="36" borderId="0" xfId="0" applyNumberFormat="1" applyFont="1" applyFill="1" applyAlignment="1">
      <alignment wrapText="1"/>
    </xf>
    <xf numFmtId="14" fontId="97" fillId="36" borderId="0" xfId="0" applyNumberFormat="1" applyFont="1" applyFill="1"/>
    <xf numFmtId="168" fontId="57" fillId="36" borderId="0" xfId="0" applyNumberFormat="1" applyFont="1" applyFill="1"/>
    <xf numFmtId="14" fontId="95" fillId="36" borderId="0" xfId="0" applyNumberFormat="1" applyFont="1" applyFill="1"/>
    <xf numFmtId="2" fontId="106" fillId="19" borderId="0" xfId="1" applyNumberFormat="1" applyFont="1" applyFill="1"/>
    <xf numFmtId="0" fontId="106" fillId="19" borderId="0" xfId="1" applyFont="1" applyFill="1" applyAlignment="1">
      <alignment horizontal="right"/>
    </xf>
    <xf numFmtId="168" fontId="106" fillId="19" borderId="0" xfId="0" applyNumberFormat="1" applyFont="1" applyFill="1" applyAlignment="1" applyProtection="1">
      <alignment horizontal="right"/>
      <protection hidden="1"/>
    </xf>
    <xf numFmtId="14" fontId="106" fillId="19" borderId="0" xfId="1" applyNumberFormat="1" applyFont="1" applyFill="1"/>
    <xf numFmtId="2" fontId="1" fillId="19" borderId="0" xfId="1" applyNumberFormat="1" applyFill="1" applyProtection="1">
      <protection hidden="1"/>
    </xf>
    <xf numFmtId="0" fontId="1" fillId="33" borderId="1" xfId="1" applyFill="1" applyBorder="1" applyProtection="1">
      <protection locked="0"/>
    </xf>
    <xf numFmtId="0" fontId="1" fillId="32" borderId="1" xfId="1" applyFill="1" applyBorder="1" applyProtection="1">
      <protection locked="0"/>
    </xf>
    <xf numFmtId="172" fontId="1" fillId="34" borderId="1" xfId="1" applyNumberFormat="1" applyFill="1" applyBorder="1" applyAlignment="1" applyProtection="1">
      <alignment horizontal="center"/>
      <protection locked="0"/>
    </xf>
    <xf numFmtId="2" fontId="1" fillId="19" borderId="0" xfId="1" applyNumberFormat="1" applyFill="1"/>
    <xf numFmtId="0" fontId="57" fillId="36" borderId="0" xfId="0" applyFont="1" applyFill="1"/>
    <xf numFmtId="168" fontId="116" fillId="36" borderId="0" xfId="0" applyNumberFormat="1" applyFont="1" applyFill="1"/>
    <xf numFmtId="0" fontId="116" fillId="36" borderId="0" xfId="0" applyFont="1" applyFill="1"/>
    <xf numFmtId="168" fontId="117" fillId="36" borderId="0" xfId="0" applyNumberFormat="1" applyFont="1" applyFill="1"/>
    <xf numFmtId="0" fontId="117" fillId="36" borderId="0" xfId="0" applyFont="1" applyFill="1"/>
    <xf numFmtId="14" fontId="96" fillId="36" borderId="0" xfId="0" applyNumberFormat="1" applyFont="1" applyFill="1"/>
    <xf numFmtId="172" fontId="95" fillId="36" borderId="0" xfId="0" applyNumberFormat="1" applyFont="1" applyFill="1"/>
    <xf numFmtId="164" fontId="85" fillId="36" borderId="0" xfId="0" applyNumberFormat="1" applyFont="1" applyFill="1" applyProtection="1">
      <protection hidden="1"/>
    </xf>
    <xf numFmtId="0" fontId="75" fillId="36" borderId="0" xfId="0" applyFont="1" applyFill="1"/>
    <xf numFmtId="0" fontId="88" fillId="36" borderId="0" xfId="0" applyFont="1" applyFill="1"/>
    <xf numFmtId="49" fontId="75" fillId="36" borderId="0" xfId="0" applyNumberFormat="1" applyFont="1" applyFill="1"/>
    <xf numFmtId="0" fontId="7" fillId="36" borderId="0" xfId="0" applyFont="1" applyFill="1"/>
    <xf numFmtId="0" fontId="7" fillId="24" borderId="0" xfId="0" applyFont="1" applyFill="1"/>
    <xf numFmtId="1" fontId="0" fillId="0" borderId="0" xfId="0" applyNumberFormat="1"/>
    <xf numFmtId="0" fontId="98" fillId="24" borderId="0" xfId="0" applyFont="1" applyFill="1" applyAlignment="1">
      <alignment horizontal="right" vertical="center" wrapText="1"/>
    </xf>
    <xf numFmtId="0" fontId="99" fillId="0" borderId="0" xfId="0" applyFont="1" applyAlignment="1">
      <alignment horizontal="right" wrapText="1"/>
    </xf>
    <xf numFmtId="0" fontId="7" fillId="36" borderId="0" xfId="0" applyFont="1" applyFill="1" applyAlignment="1">
      <alignment vertical="top" wrapText="1"/>
    </xf>
    <xf numFmtId="16" fontId="54" fillId="0" borderId="22" xfId="0" applyNumberFormat="1" applyFont="1" applyBorder="1" applyAlignment="1" applyProtection="1">
      <alignment horizontal="center" vertical="center"/>
      <protection locked="0"/>
    </xf>
    <xf numFmtId="0" fontId="54" fillId="0" borderId="23" xfId="0" applyFont="1" applyBorder="1" applyAlignment="1" applyProtection="1">
      <alignment horizontal="center" vertical="center"/>
      <protection locked="0"/>
    </xf>
    <xf numFmtId="49" fontId="89" fillId="36" borderId="0" xfId="0" applyNumberFormat="1" applyFont="1" applyFill="1" applyAlignment="1" applyProtection="1">
      <alignment horizontal="center"/>
      <protection hidden="1"/>
    </xf>
    <xf numFmtId="164" fontId="85" fillId="23" borderId="0" xfId="0" applyNumberFormat="1" applyFont="1" applyFill="1" applyAlignment="1" applyProtection="1">
      <alignment horizontal="center"/>
      <protection hidden="1"/>
    </xf>
    <xf numFmtId="169" fontId="85" fillId="23" borderId="0" xfId="0" applyNumberFormat="1" applyFont="1" applyFill="1" applyProtection="1">
      <protection hidden="1"/>
    </xf>
    <xf numFmtId="169" fontId="86" fillId="23" borderId="0" xfId="0" applyNumberFormat="1" applyFont="1" applyFill="1" applyProtection="1">
      <protection hidden="1"/>
    </xf>
    <xf numFmtId="170" fontId="85" fillId="36" borderId="0" xfId="0" applyNumberFormat="1" applyFont="1" applyFill="1" applyAlignment="1" applyProtection="1">
      <alignment horizontal="center" vertical="center"/>
      <protection hidden="1"/>
    </xf>
    <xf numFmtId="170" fontId="0" fillId="0" borderId="0" xfId="0" applyNumberFormat="1" applyAlignment="1">
      <alignment horizontal="center" vertical="center"/>
    </xf>
    <xf numFmtId="0" fontId="1" fillId="0" borderId="6" xfId="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1" fillId="0" borderId="2" xfId="1"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4" fillId="30" borderId="0" xfId="1" applyFont="1" applyFill="1" applyAlignment="1">
      <alignment horizontal="center"/>
    </xf>
    <xf numFmtId="0" fontId="1" fillId="30" borderId="0" xfId="1" applyFill="1" applyAlignment="1">
      <alignment horizontal="center"/>
    </xf>
    <xf numFmtId="0" fontId="4" fillId="35" borderId="0" xfId="1" applyFont="1" applyFill="1" applyAlignment="1">
      <alignment vertical="center" wrapText="1"/>
    </xf>
    <xf numFmtId="0" fontId="5" fillId="35" borderId="0" xfId="1" applyFont="1" applyFill="1" applyAlignment="1">
      <alignment horizontal="center" vertical="center"/>
    </xf>
    <xf numFmtId="0" fontId="0" fillId="35" borderId="0" xfId="0" applyFill="1" applyAlignment="1">
      <alignment horizontal="center" vertical="center"/>
    </xf>
    <xf numFmtId="0" fontId="12" fillId="20" borderId="0" xfId="0" applyFont="1" applyFill="1" applyAlignment="1">
      <alignment horizontal="center" vertical="center"/>
    </xf>
    <xf numFmtId="0" fontId="24" fillId="20" borderId="0" xfId="0" applyFont="1" applyFill="1" applyAlignment="1">
      <alignment horizontal="center" vertical="center"/>
    </xf>
    <xf numFmtId="0" fontId="8" fillId="20" borderId="0" xfId="0" applyFont="1" applyFill="1" applyAlignment="1">
      <alignment horizontal="left" vertical="center" wrapText="1"/>
    </xf>
    <xf numFmtId="0" fontId="4" fillId="16" borderId="11" xfId="0" applyFont="1" applyFill="1" applyBorder="1" applyAlignment="1">
      <alignment horizontal="center" vertical="center"/>
    </xf>
    <xf numFmtId="0" fontId="4" fillId="16" borderId="10" xfId="0" applyFont="1" applyFill="1" applyBorder="1" applyAlignment="1">
      <alignment horizontal="center" vertical="center"/>
    </xf>
    <xf numFmtId="0" fontId="9" fillId="16" borderId="14" xfId="0" applyFont="1" applyFill="1" applyBorder="1" applyAlignment="1">
      <alignment horizontal="center" vertical="center"/>
    </xf>
    <xf numFmtId="0" fontId="9" fillId="16" borderId="12" xfId="0" applyFont="1" applyFill="1" applyBorder="1" applyAlignment="1">
      <alignment horizontal="center" vertical="center"/>
    </xf>
    <xf numFmtId="0" fontId="0" fillId="20" borderId="0" xfId="0" applyFill="1" applyAlignment="1">
      <alignment horizontal="center" vertical="center"/>
    </xf>
    <xf numFmtId="0" fontId="8" fillId="20" borderId="11" xfId="0" applyFont="1" applyFill="1" applyBorder="1" applyAlignment="1">
      <alignment horizontal="justify" vertical="center" wrapText="1"/>
    </xf>
    <xf numFmtId="0" fontId="0" fillId="20" borderId="0" xfId="0" applyFill="1" applyAlignment="1">
      <alignment horizontal="justify" vertical="center" wrapText="1"/>
    </xf>
    <xf numFmtId="0" fontId="0" fillId="20" borderId="11" xfId="0" applyFill="1" applyBorder="1" applyAlignment="1">
      <alignment horizontal="justify" vertical="center" wrapText="1"/>
    </xf>
    <xf numFmtId="0" fontId="50" fillId="20" borderId="0" xfId="0" applyFont="1" applyFill="1" applyAlignment="1">
      <alignment horizontal="center" vertical="center" wrapText="1"/>
    </xf>
    <xf numFmtId="0" fontId="0" fillId="0" borderId="0" xfId="0"/>
    <xf numFmtId="0" fontId="8" fillId="20" borderId="0" xfId="0" applyFont="1" applyFill="1" applyAlignment="1">
      <alignment horizontal="justify" vertical="center" wrapText="1"/>
    </xf>
    <xf numFmtId="0" fontId="0" fillId="0" borderId="0" xfId="0" applyAlignment="1">
      <alignment horizontal="justify" vertical="center" wrapText="1"/>
    </xf>
    <xf numFmtId="0" fontId="114" fillId="39" borderId="2" xfId="0" applyFont="1" applyFill="1" applyBorder="1" applyAlignment="1">
      <alignment horizontal="left" vertical="center" wrapText="1"/>
    </xf>
    <xf numFmtId="0" fontId="115" fillId="39" borderId="19" xfId="0" applyFont="1" applyFill="1" applyBorder="1" applyAlignment="1">
      <alignment horizontal="left" vertical="center" wrapText="1"/>
    </xf>
    <xf numFmtId="0" fontId="115" fillId="39" borderId="21" xfId="0" applyFont="1" applyFill="1" applyBorder="1" applyAlignment="1">
      <alignment horizontal="left" vertical="center" wrapText="1"/>
    </xf>
    <xf numFmtId="0" fontId="115" fillId="0" borderId="19" xfId="0" applyFont="1" applyBorder="1" applyAlignment="1">
      <alignment horizontal="left" vertical="center" wrapText="1"/>
    </xf>
    <xf numFmtId="0" fontId="115" fillId="0" borderId="21" xfId="0" applyFont="1" applyBorder="1" applyAlignment="1">
      <alignment horizontal="left" vertical="center" wrapText="1"/>
    </xf>
    <xf numFmtId="1" fontId="14" fillId="25" borderId="6" xfId="0" applyNumberFormat="1" applyFont="1" applyFill="1" applyBorder="1" applyAlignment="1" applyProtection="1">
      <alignment horizontal="center" vertical="center"/>
      <protection locked="0"/>
    </xf>
    <xf numFmtId="1" fontId="14" fillId="25" borderId="3" xfId="0" applyNumberFormat="1" applyFont="1" applyFill="1" applyBorder="1" applyAlignment="1" applyProtection="1">
      <alignment horizontal="center" vertical="center"/>
      <protection locked="0"/>
    </xf>
    <xf numFmtId="0" fontId="39" fillId="25" borderId="14" xfId="0" applyFont="1" applyFill="1" applyBorder="1" applyAlignment="1">
      <alignment horizontal="center" vertical="center"/>
    </xf>
    <xf numFmtId="0" fontId="0" fillId="25" borderId="12" xfId="0" applyFill="1" applyBorder="1" applyAlignment="1">
      <alignment horizontal="center" vertical="center"/>
    </xf>
    <xf numFmtId="0" fontId="0" fillId="25" borderId="9" xfId="0" applyFill="1" applyBorder="1" applyAlignment="1">
      <alignment horizontal="center" vertical="center"/>
    </xf>
    <xf numFmtId="0" fontId="0" fillId="25" borderId="7" xfId="0" applyFill="1" applyBorder="1" applyAlignment="1">
      <alignment horizontal="center" vertical="center"/>
    </xf>
    <xf numFmtId="0" fontId="8" fillId="9" borderId="6"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3" xfId="0" applyFont="1" applyFill="1" applyBorder="1" applyAlignment="1">
      <alignment horizontal="center" vertical="center" wrapText="1"/>
    </xf>
    <xf numFmtId="168" fontId="18" fillId="41" borderId="14" xfId="0" applyNumberFormat="1" applyFont="1" applyFill="1" applyBorder="1" applyAlignment="1">
      <alignment horizontal="left" vertical="center" wrapText="1"/>
    </xf>
    <xf numFmtId="168" fontId="18" fillId="41" borderId="13" xfId="0" applyNumberFormat="1" applyFont="1" applyFill="1" applyBorder="1" applyAlignment="1">
      <alignment horizontal="left" vertical="center" wrapText="1"/>
    </xf>
    <xf numFmtId="168" fontId="18" fillId="41" borderId="11" xfId="0" applyNumberFormat="1" applyFont="1" applyFill="1" applyBorder="1" applyAlignment="1">
      <alignment horizontal="left" vertical="center" wrapText="1"/>
    </xf>
    <xf numFmtId="168" fontId="18" fillId="41" borderId="0" xfId="0" applyNumberFormat="1" applyFont="1" applyFill="1" applyAlignment="1">
      <alignment horizontal="left" vertical="center" wrapText="1"/>
    </xf>
    <xf numFmtId="168" fontId="18" fillId="41" borderId="9" xfId="0" applyNumberFormat="1" applyFont="1" applyFill="1" applyBorder="1" applyAlignment="1">
      <alignment horizontal="left" vertical="center" wrapText="1"/>
    </xf>
    <xf numFmtId="168" fontId="18" fillId="41" borderId="8" xfId="0" applyNumberFormat="1" applyFont="1" applyFill="1" applyBorder="1" applyAlignment="1">
      <alignment horizontal="left" vertical="center" wrapText="1"/>
    </xf>
    <xf numFmtId="168" fontId="8" fillId="41" borderId="13"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64" fillId="30" borderId="0" xfId="0" applyFont="1" applyFill="1" applyAlignment="1">
      <alignment horizontal="center" vertical="center"/>
    </xf>
    <xf numFmtId="0" fontId="0" fillId="0" borderId="0" xfId="0" applyAlignment="1">
      <alignment horizontal="center"/>
    </xf>
    <xf numFmtId="0" fontId="14" fillId="15" borderId="0" xfId="0" applyFont="1" applyFill="1" applyAlignment="1">
      <alignment vertical="center" wrapText="1"/>
    </xf>
    <xf numFmtId="0" fontId="1" fillId="15" borderId="0" xfId="0" applyFont="1" applyFill="1" applyAlignment="1">
      <alignment vertical="center" wrapText="1"/>
    </xf>
  </cellXfs>
  <cellStyles count="3">
    <cellStyle name="Normal" xfId="0" builtinId="0"/>
    <cellStyle name="Normal 2" xfId="1" xr:uid="{00000000-0005-0000-0000-000001000000}"/>
    <cellStyle name="Pourcentage" xfId="2" builtinId="5"/>
  </cellStyles>
  <dxfs count="0"/>
  <tableStyles count="0" defaultTableStyle="TableStyleMedium9" defaultPivotStyle="PivotStyleLight16"/>
  <colors>
    <mruColors>
      <color rgb="FFFFCCFF"/>
      <color rgb="FFFFCCCC"/>
      <color rgb="FFFF99FF"/>
      <color rgb="FFCCCCFF"/>
      <color rgb="FFCC99FF"/>
      <color rgb="FF66CCFF"/>
      <color rgb="FF99CCFF"/>
      <color rgb="FF0000FF"/>
      <color rgb="FFFF505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microsoft.com/office/2006/relationships/vbaProject" Target="vbaProject.bin"/><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fr-CH"/>
              <a:t>Evaluation des facteurs d'entretien</a:t>
            </a:r>
          </a:p>
        </c:rich>
      </c:tx>
      <c:layout>
        <c:manualLayout>
          <c:xMode val="edge"/>
          <c:yMode val="edge"/>
          <c:x val="0.37361113630429699"/>
          <c:y val="3.1478358628443101E-2"/>
        </c:manualLayout>
      </c:layout>
      <c:overlay val="0"/>
      <c:spPr>
        <a:noFill/>
        <a:ln w="25400">
          <a:noFill/>
        </a:ln>
      </c:spPr>
    </c:title>
    <c:autoTitleDeleted val="0"/>
    <c:plotArea>
      <c:layout>
        <c:manualLayout>
          <c:layoutTarget val="inner"/>
          <c:xMode val="edge"/>
          <c:yMode val="edge"/>
          <c:x val="7.53488711268432E-2"/>
          <c:y val="0.12457911861266401"/>
          <c:w val="0.843750000000005"/>
          <c:h val="0.58922558922558899"/>
        </c:manualLayout>
      </c:layout>
      <c:barChart>
        <c:barDir val="col"/>
        <c:grouping val="clustered"/>
        <c:varyColors val="0"/>
        <c:ser>
          <c:idx val="1"/>
          <c:order val="0"/>
          <c:tx>
            <c:strRef>
              <c:f>Archive1!$F$5</c:f>
              <c:strCache>
                <c:ptCount val="1"/>
              </c:strCache>
            </c:strRef>
          </c:tx>
          <c:spPr>
            <a:solidFill>
              <a:schemeClr val="accent2"/>
            </a:solidFill>
            <a:ln w="12700">
              <a:solidFill>
                <a:srgbClr val="000000"/>
              </a:solidFill>
              <a:prstDash val="solid"/>
            </a:ln>
          </c:spPr>
          <c:invertIfNegative val="0"/>
          <c:dPt>
            <c:idx val="10"/>
            <c:invertIfNegative val="0"/>
            <c:bubble3D val="0"/>
            <c:extLst>
              <c:ext xmlns:c16="http://schemas.microsoft.com/office/drawing/2014/chart" uri="{C3380CC4-5D6E-409C-BE32-E72D297353CC}">
                <c16:uniqueId val="{00000000-E89E-4C7A-BA7D-447A11BC021F}"/>
              </c:ext>
            </c:extLst>
          </c:dPt>
          <c:cat>
            <c:strRef>
              <c:f>Synthèse!$A$3:$N$3</c:f>
              <c:strCache>
                <c:ptCount val="14"/>
                <c:pt idx="0">
                  <c:v>Désir de maigrir</c:v>
                </c:pt>
                <c:pt idx="1">
                  <c:v>Critiques/ corps</c:v>
                </c:pt>
                <c:pt idx="2">
                  <c:v>Restrictions</c:v>
                </c:pt>
                <c:pt idx="3">
                  <c:v>Orthorexie</c:v>
                </c:pt>
                <c:pt idx="4">
                  <c:v>Perfectionnisme</c:v>
                </c:pt>
                <c:pt idx="5">
                  <c:v>Dépression</c:v>
                </c:pt>
                <c:pt idx="6">
                  <c:v>Anxiété</c:v>
                </c:pt>
                <c:pt idx="7">
                  <c:v>Impulsivité</c:v>
                </c:pt>
                <c:pt idx="8">
                  <c:v>Hypercontrôle</c:v>
                </c:pt>
                <c:pt idx="9">
                  <c:v>Inhibition</c:v>
                </c:pt>
                <c:pt idx="10">
                  <c:v>Vie sociale</c:v>
                </c:pt>
                <c:pt idx="11">
                  <c:v>Estime faible</c:v>
                </c:pt>
                <c:pt idx="12">
                  <c:v>Evit. Maturité</c:v>
                </c:pt>
                <c:pt idx="13">
                  <c:v>Réticence</c:v>
                </c:pt>
              </c:strCache>
            </c:strRef>
          </c:cat>
          <c:val>
            <c:numRef>
              <c:f>Synthèse!$A$13:$N$13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E89E-4C7A-BA7D-447A11BC021F}"/>
            </c:ext>
          </c:extLst>
        </c:ser>
        <c:ser>
          <c:idx val="2"/>
          <c:order val="1"/>
          <c:tx>
            <c:strRef>
              <c:f>Archive2!$F$5</c:f>
              <c:strCache>
                <c:ptCount val="1"/>
              </c:strCache>
            </c:strRef>
          </c:tx>
          <c:spPr>
            <a:solidFill>
              <a:srgbClr val="FFFFCC"/>
            </a:solidFill>
            <a:ln w="12700">
              <a:solidFill>
                <a:srgbClr val="000000"/>
              </a:solidFill>
              <a:prstDash val="solid"/>
            </a:ln>
          </c:spPr>
          <c:invertIfNegative val="0"/>
          <c:cat>
            <c:strRef>
              <c:f>Synthèse!$A$3:$N$3</c:f>
              <c:strCache>
                <c:ptCount val="14"/>
                <c:pt idx="0">
                  <c:v>Désir de maigrir</c:v>
                </c:pt>
                <c:pt idx="1">
                  <c:v>Critiques/ corps</c:v>
                </c:pt>
                <c:pt idx="2">
                  <c:v>Restrictions</c:v>
                </c:pt>
                <c:pt idx="3">
                  <c:v>Orthorexie</c:v>
                </c:pt>
                <c:pt idx="4">
                  <c:v>Perfectionnisme</c:v>
                </c:pt>
                <c:pt idx="5">
                  <c:v>Dépression</c:v>
                </c:pt>
                <c:pt idx="6">
                  <c:v>Anxiété</c:v>
                </c:pt>
                <c:pt idx="7">
                  <c:v>Impulsivité</c:v>
                </c:pt>
                <c:pt idx="8">
                  <c:v>Hypercontrôle</c:v>
                </c:pt>
                <c:pt idx="9">
                  <c:v>Inhibition</c:v>
                </c:pt>
                <c:pt idx="10">
                  <c:v>Vie sociale</c:v>
                </c:pt>
                <c:pt idx="11">
                  <c:v>Estime faible</c:v>
                </c:pt>
                <c:pt idx="12">
                  <c:v>Evit. Maturité</c:v>
                </c:pt>
                <c:pt idx="13">
                  <c:v>Réticence</c:v>
                </c:pt>
              </c:strCache>
            </c:strRef>
          </c:cat>
          <c:val>
            <c:numRef>
              <c:f>Synthèse!$A$14:$N$14</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E89E-4C7A-BA7D-447A11BC021F}"/>
            </c:ext>
          </c:extLst>
        </c:ser>
        <c:ser>
          <c:idx val="3"/>
          <c:order val="2"/>
          <c:tx>
            <c:strRef>
              <c:f>Archive3!$F$5</c:f>
              <c:strCache>
                <c:ptCount val="1"/>
              </c:strCache>
            </c:strRef>
          </c:tx>
          <c:spPr>
            <a:solidFill>
              <a:srgbClr val="CCFFFF"/>
            </a:solidFill>
            <a:ln w="12700">
              <a:solidFill>
                <a:srgbClr val="000000"/>
              </a:solidFill>
              <a:prstDash val="solid"/>
            </a:ln>
          </c:spPr>
          <c:invertIfNegative val="0"/>
          <c:cat>
            <c:strRef>
              <c:f>Synthèse!$A$3:$N$3</c:f>
              <c:strCache>
                <c:ptCount val="14"/>
                <c:pt idx="0">
                  <c:v>Désir de maigrir</c:v>
                </c:pt>
                <c:pt idx="1">
                  <c:v>Critiques/ corps</c:v>
                </c:pt>
                <c:pt idx="2">
                  <c:v>Restrictions</c:v>
                </c:pt>
                <c:pt idx="3">
                  <c:v>Orthorexie</c:v>
                </c:pt>
                <c:pt idx="4">
                  <c:v>Perfectionnisme</c:v>
                </c:pt>
                <c:pt idx="5">
                  <c:v>Dépression</c:v>
                </c:pt>
                <c:pt idx="6">
                  <c:v>Anxiété</c:v>
                </c:pt>
                <c:pt idx="7">
                  <c:v>Impulsivité</c:v>
                </c:pt>
                <c:pt idx="8">
                  <c:v>Hypercontrôle</c:v>
                </c:pt>
                <c:pt idx="9">
                  <c:v>Inhibition</c:v>
                </c:pt>
                <c:pt idx="10">
                  <c:v>Vie sociale</c:v>
                </c:pt>
                <c:pt idx="11">
                  <c:v>Estime faible</c:v>
                </c:pt>
                <c:pt idx="12">
                  <c:v>Evit. Maturité</c:v>
                </c:pt>
                <c:pt idx="13">
                  <c:v>Réticence</c:v>
                </c:pt>
              </c:strCache>
            </c:strRef>
          </c:cat>
          <c:val>
            <c:numRef>
              <c:f>Synthèse!$A$15:$N$15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E89E-4C7A-BA7D-447A11BC021F}"/>
            </c:ext>
          </c:extLst>
        </c:ser>
        <c:ser>
          <c:idx val="4"/>
          <c:order val="3"/>
          <c:tx>
            <c:strRef>
              <c:f>Archive4!$F$5</c:f>
              <c:strCache>
                <c:ptCount val="1"/>
              </c:strCache>
            </c:strRef>
          </c:tx>
          <c:spPr>
            <a:solidFill>
              <a:srgbClr val="660066"/>
            </a:solidFill>
            <a:ln w="12700">
              <a:solidFill>
                <a:srgbClr val="000000"/>
              </a:solidFill>
              <a:prstDash val="solid"/>
            </a:ln>
          </c:spPr>
          <c:invertIfNegative val="0"/>
          <c:cat>
            <c:strRef>
              <c:f>Synthèse!$A$3:$N$3</c:f>
              <c:strCache>
                <c:ptCount val="14"/>
                <c:pt idx="0">
                  <c:v>Désir de maigrir</c:v>
                </c:pt>
                <c:pt idx="1">
                  <c:v>Critiques/ corps</c:v>
                </c:pt>
                <c:pt idx="2">
                  <c:v>Restrictions</c:v>
                </c:pt>
                <c:pt idx="3">
                  <c:v>Orthorexie</c:v>
                </c:pt>
                <c:pt idx="4">
                  <c:v>Perfectionnisme</c:v>
                </c:pt>
                <c:pt idx="5">
                  <c:v>Dépression</c:v>
                </c:pt>
                <c:pt idx="6">
                  <c:v>Anxiété</c:v>
                </c:pt>
                <c:pt idx="7">
                  <c:v>Impulsivité</c:v>
                </c:pt>
                <c:pt idx="8">
                  <c:v>Hypercontrôle</c:v>
                </c:pt>
                <c:pt idx="9">
                  <c:v>Inhibition</c:v>
                </c:pt>
                <c:pt idx="10">
                  <c:v>Vie sociale</c:v>
                </c:pt>
                <c:pt idx="11">
                  <c:v>Estime faible</c:v>
                </c:pt>
                <c:pt idx="12">
                  <c:v>Evit. Maturité</c:v>
                </c:pt>
                <c:pt idx="13">
                  <c:v>Réticence</c:v>
                </c:pt>
              </c:strCache>
            </c:strRef>
          </c:cat>
          <c:val>
            <c:numRef>
              <c:f>Synthèse!$A$16:$N$16</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E89E-4C7A-BA7D-447A11BC021F}"/>
            </c:ext>
          </c:extLst>
        </c:ser>
        <c:ser>
          <c:idx val="5"/>
          <c:order val="4"/>
          <c:tx>
            <c:strRef>
              <c:f>Archive5!$F$5</c:f>
              <c:strCache>
                <c:ptCount val="1"/>
              </c:strCache>
            </c:strRef>
          </c:tx>
          <c:spPr>
            <a:solidFill>
              <a:srgbClr val="FF8080"/>
            </a:solidFill>
            <a:ln w="12700">
              <a:solidFill>
                <a:srgbClr val="000000"/>
              </a:solidFill>
              <a:prstDash val="solid"/>
            </a:ln>
          </c:spPr>
          <c:invertIfNegative val="0"/>
          <c:cat>
            <c:strRef>
              <c:f>Synthèse!$A$3:$N$3</c:f>
              <c:strCache>
                <c:ptCount val="14"/>
                <c:pt idx="0">
                  <c:v>Désir de maigrir</c:v>
                </c:pt>
                <c:pt idx="1">
                  <c:v>Critiques/ corps</c:v>
                </c:pt>
                <c:pt idx="2">
                  <c:v>Restrictions</c:v>
                </c:pt>
                <c:pt idx="3">
                  <c:v>Orthorexie</c:v>
                </c:pt>
                <c:pt idx="4">
                  <c:v>Perfectionnisme</c:v>
                </c:pt>
                <c:pt idx="5">
                  <c:v>Dépression</c:v>
                </c:pt>
                <c:pt idx="6">
                  <c:v>Anxiété</c:v>
                </c:pt>
                <c:pt idx="7">
                  <c:v>Impulsivité</c:v>
                </c:pt>
                <c:pt idx="8">
                  <c:v>Hypercontrôle</c:v>
                </c:pt>
                <c:pt idx="9">
                  <c:v>Inhibition</c:v>
                </c:pt>
                <c:pt idx="10">
                  <c:v>Vie sociale</c:v>
                </c:pt>
                <c:pt idx="11">
                  <c:v>Estime faible</c:v>
                </c:pt>
                <c:pt idx="12">
                  <c:v>Evit. Maturité</c:v>
                </c:pt>
                <c:pt idx="13">
                  <c:v>Réticence</c:v>
                </c:pt>
              </c:strCache>
            </c:strRef>
          </c:cat>
          <c:val>
            <c:numRef>
              <c:f>Synthèse!$A$17:$N$17</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E89E-4C7A-BA7D-447A11BC021F}"/>
            </c:ext>
          </c:extLst>
        </c:ser>
        <c:dLbls>
          <c:showLegendKey val="0"/>
          <c:showVal val="0"/>
          <c:showCatName val="0"/>
          <c:showSerName val="0"/>
          <c:showPercent val="0"/>
          <c:showBubbleSize val="0"/>
        </c:dLbls>
        <c:gapWidth val="150"/>
        <c:axId val="151867552"/>
        <c:axId val="151869872"/>
      </c:barChart>
      <c:catAx>
        <c:axId val="151867552"/>
        <c:scaling>
          <c:orientation val="minMax"/>
        </c:scaling>
        <c:delete val="0"/>
        <c:axPos val="b"/>
        <c:minorGridlines>
          <c:spPr>
            <a:ln w="3175">
              <a:noFill/>
            </a:ln>
          </c:spPr>
        </c:minorGridlines>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51869872"/>
        <c:crosses val="autoZero"/>
        <c:auto val="1"/>
        <c:lblAlgn val="ctr"/>
        <c:lblOffset val="100"/>
        <c:noMultiLvlLbl val="0"/>
      </c:catAx>
      <c:valAx>
        <c:axId val="151869872"/>
        <c:scaling>
          <c:orientation val="minMax"/>
          <c:max val="1"/>
        </c:scaling>
        <c:delete val="0"/>
        <c:axPos val="l"/>
        <c:majorGridlines>
          <c:spPr>
            <a:ln w="3175">
              <a:solidFill>
                <a:srgbClr val="000000"/>
              </a:solidFill>
              <a:prstDash val="solid"/>
            </a:ln>
          </c:spPr>
        </c:majorGridlines>
        <c:min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51867552"/>
        <c:crosses val="autoZero"/>
        <c:crossBetween val="between"/>
      </c:valAx>
      <c:spPr>
        <a:solidFill>
          <a:schemeClr val="bg2"/>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lumMod val="95000"/>
      </a:schemeClr>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CH"/>
              <a:t>Incidence des troubles</a:t>
            </a:r>
          </a:p>
        </c:rich>
      </c:tx>
      <c:layout>
        <c:manualLayout>
          <c:xMode val="edge"/>
          <c:yMode val="edge"/>
          <c:x val="0.38178099651123898"/>
          <c:y val="2.0376175548589399E-2"/>
        </c:manualLayout>
      </c:layout>
      <c:overlay val="0"/>
      <c:spPr>
        <a:noFill/>
        <a:ln w="25400">
          <a:noFill/>
        </a:ln>
      </c:spPr>
    </c:title>
    <c:autoTitleDeleted val="0"/>
    <c:plotArea>
      <c:layout/>
      <c:radarChart>
        <c:radarStyle val="marker"/>
        <c:varyColors val="0"/>
        <c:ser>
          <c:idx val="0"/>
          <c:order val="0"/>
          <c:tx>
            <c:strRef>
              <c:f>Archive1!$F$5</c:f>
              <c:strCache>
                <c:ptCount val="1"/>
              </c:strCache>
            </c:strRef>
          </c:tx>
          <c:marker>
            <c:symbol val="none"/>
          </c:marker>
          <c:cat>
            <c:strRef>
              <c:f>recueil!$B$44:$B$47</c:f>
              <c:strCache>
                <c:ptCount val="4"/>
                <c:pt idx="0">
                  <c:v>physique</c:v>
                </c:pt>
                <c:pt idx="1">
                  <c:v>psychique</c:v>
                </c:pt>
                <c:pt idx="2">
                  <c:v>Sociale</c:v>
                </c:pt>
                <c:pt idx="3">
                  <c:v>Souffrance</c:v>
                </c:pt>
              </c:strCache>
            </c:strRef>
          </c:cat>
          <c:val>
            <c:numRef>
              <c:f>Archive1!$C$52:$C$55</c:f>
              <c:numCache>
                <c:formatCode>General</c:formatCode>
                <c:ptCount val="4"/>
              </c:numCache>
            </c:numRef>
          </c:val>
          <c:extLst>
            <c:ext xmlns:c16="http://schemas.microsoft.com/office/drawing/2014/chart" uri="{C3380CC4-5D6E-409C-BE32-E72D297353CC}">
              <c16:uniqueId val="{00000000-9A9E-41A1-B4D9-B1E985EDD992}"/>
            </c:ext>
          </c:extLst>
        </c:ser>
        <c:ser>
          <c:idx val="1"/>
          <c:order val="1"/>
          <c:tx>
            <c:strRef>
              <c:f>Archive2!$F$5</c:f>
              <c:strCache>
                <c:ptCount val="1"/>
              </c:strCache>
            </c:strRef>
          </c:tx>
          <c:marker>
            <c:symbol val="none"/>
          </c:marker>
          <c:val>
            <c:numRef>
              <c:f>Archive2!$C$52:$C$55</c:f>
              <c:numCache>
                <c:formatCode>General</c:formatCode>
                <c:ptCount val="4"/>
              </c:numCache>
            </c:numRef>
          </c:val>
          <c:extLst>
            <c:ext xmlns:c16="http://schemas.microsoft.com/office/drawing/2014/chart" uri="{C3380CC4-5D6E-409C-BE32-E72D297353CC}">
              <c16:uniqueId val="{00000001-9A9E-41A1-B4D9-B1E985EDD992}"/>
            </c:ext>
          </c:extLst>
        </c:ser>
        <c:ser>
          <c:idx val="2"/>
          <c:order val="2"/>
          <c:tx>
            <c:strRef>
              <c:f>Archive3!$F$5</c:f>
              <c:strCache>
                <c:ptCount val="1"/>
              </c:strCache>
            </c:strRef>
          </c:tx>
          <c:marker>
            <c:symbol val="none"/>
          </c:marker>
          <c:val>
            <c:numRef>
              <c:f>Archive3!$C$52:$C$55</c:f>
              <c:numCache>
                <c:formatCode>General</c:formatCode>
                <c:ptCount val="4"/>
              </c:numCache>
            </c:numRef>
          </c:val>
          <c:extLst>
            <c:ext xmlns:c16="http://schemas.microsoft.com/office/drawing/2014/chart" uri="{C3380CC4-5D6E-409C-BE32-E72D297353CC}">
              <c16:uniqueId val="{00000002-9A9E-41A1-B4D9-B1E985EDD992}"/>
            </c:ext>
          </c:extLst>
        </c:ser>
        <c:ser>
          <c:idx val="3"/>
          <c:order val="3"/>
          <c:tx>
            <c:strRef>
              <c:f>Archive4!$F$5</c:f>
              <c:strCache>
                <c:ptCount val="1"/>
              </c:strCache>
            </c:strRef>
          </c:tx>
          <c:marker>
            <c:symbol val="none"/>
          </c:marker>
          <c:val>
            <c:numRef>
              <c:f>Archive4!$C$52:$C$55</c:f>
              <c:numCache>
                <c:formatCode>General</c:formatCode>
                <c:ptCount val="4"/>
              </c:numCache>
            </c:numRef>
          </c:val>
          <c:extLst>
            <c:ext xmlns:c16="http://schemas.microsoft.com/office/drawing/2014/chart" uri="{C3380CC4-5D6E-409C-BE32-E72D297353CC}">
              <c16:uniqueId val="{00000003-9A9E-41A1-B4D9-B1E985EDD992}"/>
            </c:ext>
          </c:extLst>
        </c:ser>
        <c:ser>
          <c:idx val="4"/>
          <c:order val="4"/>
          <c:tx>
            <c:strRef>
              <c:f>Archive5!$F$5</c:f>
              <c:strCache>
                <c:ptCount val="1"/>
              </c:strCache>
            </c:strRef>
          </c:tx>
          <c:marker>
            <c:symbol val="none"/>
          </c:marker>
          <c:val>
            <c:numRef>
              <c:f>Archive5!$C$52:$C$55</c:f>
              <c:numCache>
                <c:formatCode>General</c:formatCode>
                <c:ptCount val="4"/>
              </c:numCache>
            </c:numRef>
          </c:val>
          <c:extLst>
            <c:ext xmlns:c16="http://schemas.microsoft.com/office/drawing/2014/chart" uri="{C3380CC4-5D6E-409C-BE32-E72D297353CC}">
              <c16:uniqueId val="{00000004-9A9E-41A1-B4D9-B1E985EDD992}"/>
            </c:ext>
          </c:extLst>
        </c:ser>
        <c:dLbls>
          <c:showLegendKey val="0"/>
          <c:showVal val="0"/>
          <c:showCatName val="0"/>
          <c:showSerName val="0"/>
          <c:showPercent val="0"/>
          <c:showBubbleSize val="0"/>
        </c:dLbls>
        <c:axId val="121004096"/>
        <c:axId val="121006848"/>
      </c:radarChart>
      <c:catAx>
        <c:axId val="12100409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1006848"/>
        <c:crosses val="autoZero"/>
        <c:auto val="0"/>
        <c:lblAlgn val="ctr"/>
        <c:lblOffset val="100"/>
        <c:noMultiLvlLbl val="0"/>
      </c:catAx>
      <c:valAx>
        <c:axId val="121006848"/>
        <c:scaling>
          <c:orientation val="minMax"/>
          <c:max val="1"/>
          <c:min val="0"/>
        </c:scaling>
        <c:delete val="1"/>
        <c:axPos val="l"/>
        <c:majorGridlines/>
        <c:numFmt formatCode="0.00%" sourceLinked="1"/>
        <c:majorTickMark val="out"/>
        <c:minorTickMark val="none"/>
        <c:tickLblPos val="none"/>
        <c:crossAx val="121004096"/>
        <c:crosses val="autoZero"/>
        <c:crossBetween val="between"/>
      </c:valAx>
      <c:spPr>
        <a:ln w="25400">
          <a:noFill/>
        </a:ln>
      </c:spPr>
    </c:plotArea>
    <c:legend>
      <c:legendPos val="tr"/>
      <c:layout>
        <c:manualLayout>
          <c:xMode val="edge"/>
          <c:yMode val="edge"/>
          <c:x val="0.84533972786325395"/>
          <c:y val="0.75707191542818297"/>
          <c:w val="8.5005980891474001E-2"/>
          <c:h val="0.16953526471841801"/>
        </c:manualLayout>
      </c:layout>
      <c:overlay val="1"/>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lumMod val="95000"/>
      </a:schemeClr>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69746007244498E-2"/>
          <c:y val="9.0000146484613505E-2"/>
          <c:w val="0.924037930479086"/>
          <c:h val="0.79833463270610805"/>
        </c:manualLayout>
      </c:layout>
      <c:lineChart>
        <c:grouping val="standard"/>
        <c:varyColors val="0"/>
        <c:ser>
          <c:idx val="5"/>
          <c:order val="0"/>
          <c:tx>
            <c:strRef>
              <c:f>'Courbe In'!$Z$3</c:f>
              <c:strCache>
                <c:ptCount val="1"/>
                <c:pt idx="0">
                  <c:v>Minimum normal</c:v>
                </c:pt>
              </c:strCache>
            </c:strRef>
          </c:tx>
          <c:spPr>
            <a:ln w="25400">
              <a:solidFill>
                <a:srgbClr val="0000FF"/>
              </a:solidFill>
              <a:prstDash val="solid"/>
            </a:ln>
          </c:spPr>
          <c:marker>
            <c:symbol val="none"/>
          </c:marker>
          <c:cat>
            <c:numRef>
              <c:f>'Courbe In'!$AA$2:$BB$2</c:f>
              <c:numCache>
                <c:formatCode>d/m</c:formatCode>
                <c:ptCount val="28"/>
                <c:pt idx="0">
                  <c:v>45337.840324074074</c:v>
                </c:pt>
                <c:pt idx="1">
                  <c:v>45344.840324074074</c:v>
                </c:pt>
                <c:pt idx="2">
                  <c:v>45351.840324074074</c:v>
                </c:pt>
                <c:pt idx="3">
                  <c:v>45358.840324074074</c:v>
                </c:pt>
                <c:pt idx="4">
                  <c:v>45365.840324074074</c:v>
                </c:pt>
                <c:pt idx="5">
                  <c:v>45372.840324074074</c:v>
                </c:pt>
                <c:pt idx="6">
                  <c:v>45379.840324074074</c:v>
                </c:pt>
                <c:pt idx="7">
                  <c:v>45386.840324074074</c:v>
                </c:pt>
                <c:pt idx="8">
                  <c:v>45393.840324074074</c:v>
                </c:pt>
                <c:pt idx="9">
                  <c:v>45400.840324074074</c:v>
                </c:pt>
                <c:pt idx="10">
                  <c:v>45407.840324074074</c:v>
                </c:pt>
                <c:pt idx="11">
                  <c:v>45414.840324074074</c:v>
                </c:pt>
                <c:pt idx="12">
                  <c:v>45421.840324074074</c:v>
                </c:pt>
                <c:pt idx="13">
                  <c:v>45428.840324074074</c:v>
                </c:pt>
                <c:pt idx="14">
                  <c:v>45435.840324074074</c:v>
                </c:pt>
                <c:pt idx="15">
                  <c:v>45442.840324074074</c:v>
                </c:pt>
                <c:pt idx="16">
                  <c:v>45449.840324074074</c:v>
                </c:pt>
                <c:pt idx="17">
                  <c:v>45456.840324074074</c:v>
                </c:pt>
                <c:pt idx="18">
                  <c:v>45463.840324074074</c:v>
                </c:pt>
                <c:pt idx="19">
                  <c:v>45470.840324074074</c:v>
                </c:pt>
                <c:pt idx="20">
                  <c:v>45477.840324074074</c:v>
                </c:pt>
                <c:pt idx="21">
                  <c:v>45484.840324074074</c:v>
                </c:pt>
                <c:pt idx="22">
                  <c:v>45491.840324074074</c:v>
                </c:pt>
                <c:pt idx="23">
                  <c:v>45498.840324074074</c:v>
                </c:pt>
                <c:pt idx="24">
                  <c:v>45505.840324074074</c:v>
                </c:pt>
                <c:pt idx="25">
                  <c:v>45512.840324074074</c:v>
                </c:pt>
                <c:pt idx="26">
                  <c:v>45519.840324074074</c:v>
                </c:pt>
                <c:pt idx="27">
                  <c:v>45526.840324074074</c:v>
                </c:pt>
              </c:numCache>
            </c:numRef>
          </c:cat>
          <c:val>
            <c:numRef>
              <c:f>'Courbe In'!$AA$3:$CD$3</c:f>
              <c:numCache>
                <c:formatCode>0.00</c:formatCode>
                <c:ptCount val="56"/>
                <c:pt idx="0" formatCode="General">
                  <c:v>0</c:v>
                </c:pt>
                <c:pt idx="1">
                  <c:v>0</c:v>
                </c:pt>
                <c:pt idx="2">
                  <c:v>0</c:v>
                </c:pt>
                <c:pt idx="3">
                  <c:v>0</c:v>
                </c:pt>
                <c:pt idx="4" formatCode="General">
                  <c:v>0</c:v>
                </c:pt>
                <c:pt idx="5">
                  <c:v>0</c:v>
                </c:pt>
                <c:pt idx="6">
                  <c:v>0</c:v>
                </c:pt>
                <c:pt idx="7">
                  <c:v>0</c:v>
                </c:pt>
                <c:pt idx="8" formatCode="General">
                  <c:v>0</c:v>
                </c:pt>
                <c:pt idx="9">
                  <c:v>0</c:v>
                </c:pt>
                <c:pt idx="10">
                  <c:v>0</c:v>
                </c:pt>
                <c:pt idx="11">
                  <c:v>0</c:v>
                </c:pt>
                <c:pt idx="12" formatCode="General">
                  <c:v>0</c:v>
                </c:pt>
                <c:pt idx="13">
                  <c:v>0</c:v>
                </c:pt>
                <c:pt idx="14">
                  <c:v>0</c:v>
                </c:pt>
                <c:pt idx="15">
                  <c:v>0</c:v>
                </c:pt>
                <c:pt idx="16" formatCode="General">
                  <c:v>0</c:v>
                </c:pt>
                <c:pt idx="17">
                  <c:v>0</c:v>
                </c:pt>
                <c:pt idx="18">
                  <c:v>0</c:v>
                </c:pt>
                <c:pt idx="19">
                  <c:v>0</c:v>
                </c:pt>
                <c:pt idx="20" formatCode="General">
                  <c:v>0</c:v>
                </c:pt>
                <c:pt idx="21">
                  <c:v>0</c:v>
                </c:pt>
                <c:pt idx="22">
                  <c:v>0</c:v>
                </c:pt>
                <c:pt idx="23">
                  <c:v>0</c:v>
                </c:pt>
                <c:pt idx="24" formatCode="General">
                  <c:v>0</c:v>
                </c:pt>
                <c:pt idx="25">
                  <c:v>0</c:v>
                </c:pt>
                <c:pt idx="26">
                  <c:v>0</c:v>
                </c:pt>
                <c:pt idx="27">
                  <c:v>0</c:v>
                </c:pt>
                <c:pt idx="28" formatCode="General">
                  <c:v>0</c:v>
                </c:pt>
                <c:pt idx="29">
                  <c:v>0</c:v>
                </c:pt>
                <c:pt idx="30">
                  <c:v>0</c:v>
                </c:pt>
                <c:pt idx="31">
                  <c:v>0</c:v>
                </c:pt>
                <c:pt idx="32" formatCode="General">
                  <c:v>0</c:v>
                </c:pt>
                <c:pt idx="33">
                  <c:v>0</c:v>
                </c:pt>
                <c:pt idx="34">
                  <c:v>0</c:v>
                </c:pt>
                <c:pt idx="35">
                  <c:v>0</c:v>
                </c:pt>
                <c:pt idx="36" formatCode="General">
                  <c:v>0</c:v>
                </c:pt>
                <c:pt idx="37">
                  <c:v>0</c:v>
                </c:pt>
                <c:pt idx="38">
                  <c:v>0</c:v>
                </c:pt>
                <c:pt idx="39">
                  <c:v>0</c:v>
                </c:pt>
                <c:pt idx="40" formatCode="General">
                  <c:v>0</c:v>
                </c:pt>
                <c:pt idx="41">
                  <c:v>0</c:v>
                </c:pt>
                <c:pt idx="42">
                  <c:v>0</c:v>
                </c:pt>
                <c:pt idx="43">
                  <c:v>0</c:v>
                </c:pt>
                <c:pt idx="44" formatCode="General">
                  <c:v>0</c:v>
                </c:pt>
                <c:pt idx="45">
                  <c:v>0</c:v>
                </c:pt>
                <c:pt idx="46">
                  <c:v>0</c:v>
                </c:pt>
                <c:pt idx="47">
                  <c:v>0</c:v>
                </c:pt>
                <c:pt idx="48" formatCode="General">
                  <c:v>0</c:v>
                </c:pt>
                <c:pt idx="49">
                  <c:v>0</c:v>
                </c:pt>
                <c:pt idx="50">
                  <c:v>0</c:v>
                </c:pt>
                <c:pt idx="51">
                  <c:v>0</c:v>
                </c:pt>
                <c:pt idx="52" formatCode="General">
                  <c:v>0</c:v>
                </c:pt>
                <c:pt idx="53">
                  <c:v>0</c:v>
                </c:pt>
                <c:pt idx="54">
                  <c:v>0</c:v>
                </c:pt>
                <c:pt idx="55">
                  <c:v>0</c:v>
                </c:pt>
              </c:numCache>
            </c:numRef>
          </c:val>
          <c:smooth val="0"/>
          <c:extLst>
            <c:ext xmlns:c16="http://schemas.microsoft.com/office/drawing/2014/chart" uri="{C3380CC4-5D6E-409C-BE32-E72D297353CC}">
              <c16:uniqueId val="{00000000-39BD-4141-A6CB-5482ADABF1E9}"/>
            </c:ext>
          </c:extLst>
        </c:ser>
        <c:ser>
          <c:idx val="6"/>
          <c:order val="1"/>
          <c:tx>
            <c:v>Anr modérée</c:v>
          </c:tx>
          <c:spPr>
            <a:ln w="28575">
              <a:solidFill>
                <a:srgbClr val="FFFF00"/>
              </a:solidFill>
              <a:prstDash val="solid"/>
            </a:ln>
          </c:spPr>
          <c:marker>
            <c:symbol val="none"/>
          </c:marker>
          <c:cat>
            <c:numRef>
              <c:f>'Courbe In'!$AA$2:$BB$2</c:f>
              <c:numCache>
                <c:formatCode>d/m</c:formatCode>
                <c:ptCount val="28"/>
                <c:pt idx="0">
                  <c:v>45337.840324074074</c:v>
                </c:pt>
                <c:pt idx="1">
                  <c:v>45344.840324074074</c:v>
                </c:pt>
                <c:pt idx="2">
                  <c:v>45351.840324074074</c:v>
                </c:pt>
                <c:pt idx="3">
                  <c:v>45358.840324074074</c:v>
                </c:pt>
                <c:pt idx="4">
                  <c:v>45365.840324074074</c:v>
                </c:pt>
                <c:pt idx="5">
                  <c:v>45372.840324074074</c:v>
                </c:pt>
                <c:pt idx="6">
                  <c:v>45379.840324074074</c:v>
                </c:pt>
                <c:pt idx="7">
                  <c:v>45386.840324074074</c:v>
                </c:pt>
                <c:pt idx="8">
                  <c:v>45393.840324074074</c:v>
                </c:pt>
                <c:pt idx="9">
                  <c:v>45400.840324074074</c:v>
                </c:pt>
                <c:pt idx="10">
                  <c:v>45407.840324074074</c:v>
                </c:pt>
                <c:pt idx="11">
                  <c:v>45414.840324074074</c:v>
                </c:pt>
                <c:pt idx="12">
                  <c:v>45421.840324074074</c:v>
                </c:pt>
                <c:pt idx="13">
                  <c:v>45428.840324074074</c:v>
                </c:pt>
                <c:pt idx="14">
                  <c:v>45435.840324074074</c:v>
                </c:pt>
                <c:pt idx="15">
                  <c:v>45442.840324074074</c:v>
                </c:pt>
                <c:pt idx="16">
                  <c:v>45449.840324074074</c:v>
                </c:pt>
                <c:pt idx="17">
                  <c:v>45456.840324074074</c:v>
                </c:pt>
                <c:pt idx="18">
                  <c:v>45463.840324074074</c:v>
                </c:pt>
                <c:pt idx="19">
                  <c:v>45470.840324074074</c:v>
                </c:pt>
                <c:pt idx="20">
                  <c:v>45477.840324074074</c:v>
                </c:pt>
                <c:pt idx="21">
                  <c:v>45484.840324074074</c:v>
                </c:pt>
                <c:pt idx="22">
                  <c:v>45491.840324074074</c:v>
                </c:pt>
                <c:pt idx="23">
                  <c:v>45498.840324074074</c:v>
                </c:pt>
                <c:pt idx="24">
                  <c:v>45505.840324074074</c:v>
                </c:pt>
                <c:pt idx="25">
                  <c:v>45512.840324074074</c:v>
                </c:pt>
                <c:pt idx="26">
                  <c:v>45519.840324074074</c:v>
                </c:pt>
                <c:pt idx="27">
                  <c:v>45526.840324074074</c:v>
                </c:pt>
              </c:numCache>
            </c:numRef>
          </c:cat>
          <c:val>
            <c:numRef>
              <c:f>'Courbe In'!$AA$5:$CD$5</c:f>
              <c:numCache>
                <c:formatCode>0.00</c:formatCode>
                <c:ptCount val="56"/>
                <c:pt idx="0" formatCode="General">
                  <c:v>0</c:v>
                </c:pt>
                <c:pt idx="1">
                  <c:v>0</c:v>
                </c:pt>
                <c:pt idx="2">
                  <c:v>0</c:v>
                </c:pt>
                <c:pt idx="3">
                  <c:v>0</c:v>
                </c:pt>
                <c:pt idx="4" formatCode="General">
                  <c:v>0</c:v>
                </c:pt>
                <c:pt idx="5">
                  <c:v>0</c:v>
                </c:pt>
                <c:pt idx="6">
                  <c:v>0</c:v>
                </c:pt>
                <c:pt idx="7">
                  <c:v>0</c:v>
                </c:pt>
                <c:pt idx="8" formatCode="General">
                  <c:v>0</c:v>
                </c:pt>
                <c:pt idx="9">
                  <c:v>0</c:v>
                </c:pt>
                <c:pt idx="10">
                  <c:v>0</c:v>
                </c:pt>
                <c:pt idx="11">
                  <c:v>0</c:v>
                </c:pt>
                <c:pt idx="12" formatCode="General">
                  <c:v>0</c:v>
                </c:pt>
                <c:pt idx="13">
                  <c:v>0</c:v>
                </c:pt>
                <c:pt idx="14">
                  <c:v>0</c:v>
                </c:pt>
                <c:pt idx="15">
                  <c:v>0</c:v>
                </c:pt>
                <c:pt idx="16" formatCode="General">
                  <c:v>0</c:v>
                </c:pt>
                <c:pt idx="17">
                  <c:v>0</c:v>
                </c:pt>
                <c:pt idx="18">
                  <c:v>0</c:v>
                </c:pt>
                <c:pt idx="19">
                  <c:v>0</c:v>
                </c:pt>
                <c:pt idx="20" formatCode="General">
                  <c:v>0</c:v>
                </c:pt>
                <c:pt idx="21">
                  <c:v>0</c:v>
                </c:pt>
                <c:pt idx="22">
                  <c:v>0</c:v>
                </c:pt>
                <c:pt idx="23">
                  <c:v>0</c:v>
                </c:pt>
                <c:pt idx="24" formatCode="General">
                  <c:v>0</c:v>
                </c:pt>
                <c:pt idx="25">
                  <c:v>0</c:v>
                </c:pt>
                <c:pt idx="26">
                  <c:v>0</c:v>
                </c:pt>
                <c:pt idx="27">
                  <c:v>0</c:v>
                </c:pt>
                <c:pt idx="28" formatCode="General">
                  <c:v>0</c:v>
                </c:pt>
                <c:pt idx="29">
                  <c:v>0</c:v>
                </c:pt>
                <c:pt idx="30">
                  <c:v>0</c:v>
                </c:pt>
                <c:pt idx="31">
                  <c:v>0</c:v>
                </c:pt>
                <c:pt idx="32" formatCode="General">
                  <c:v>0</c:v>
                </c:pt>
                <c:pt idx="33">
                  <c:v>0</c:v>
                </c:pt>
                <c:pt idx="34">
                  <c:v>0</c:v>
                </c:pt>
                <c:pt idx="35">
                  <c:v>0</c:v>
                </c:pt>
                <c:pt idx="36" formatCode="General">
                  <c:v>0</c:v>
                </c:pt>
                <c:pt idx="37">
                  <c:v>0</c:v>
                </c:pt>
                <c:pt idx="38">
                  <c:v>0</c:v>
                </c:pt>
                <c:pt idx="39">
                  <c:v>0</c:v>
                </c:pt>
                <c:pt idx="40" formatCode="General">
                  <c:v>0</c:v>
                </c:pt>
                <c:pt idx="41">
                  <c:v>0</c:v>
                </c:pt>
                <c:pt idx="42">
                  <c:v>0</c:v>
                </c:pt>
                <c:pt idx="43">
                  <c:v>0</c:v>
                </c:pt>
                <c:pt idx="44" formatCode="General">
                  <c:v>0</c:v>
                </c:pt>
                <c:pt idx="45">
                  <c:v>0</c:v>
                </c:pt>
                <c:pt idx="46">
                  <c:v>0</c:v>
                </c:pt>
                <c:pt idx="47">
                  <c:v>0</c:v>
                </c:pt>
                <c:pt idx="48" formatCode="General">
                  <c:v>0</c:v>
                </c:pt>
                <c:pt idx="49">
                  <c:v>0</c:v>
                </c:pt>
                <c:pt idx="50">
                  <c:v>0</c:v>
                </c:pt>
                <c:pt idx="51">
                  <c:v>0</c:v>
                </c:pt>
                <c:pt idx="52" formatCode="General">
                  <c:v>0</c:v>
                </c:pt>
                <c:pt idx="53">
                  <c:v>0</c:v>
                </c:pt>
                <c:pt idx="54">
                  <c:v>0</c:v>
                </c:pt>
                <c:pt idx="55">
                  <c:v>0</c:v>
                </c:pt>
              </c:numCache>
            </c:numRef>
          </c:val>
          <c:smooth val="1"/>
          <c:extLst>
            <c:ext xmlns:c16="http://schemas.microsoft.com/office/drawing/2014/chart" uri="{C3380CC4-5D6E-409C-BE32-E72D297353CC}">
              <c16:uniqueId val="{00000001-39BD-4141-A6CB-5482ADABF1E9}"/>
            </c:ext>
          </c:extLst>
        </c:ser>
        <c:ser>
          <c:idx val="9"/>
          <c:order val="2"/>
          <c:tx>
            <c:v>Anr sévère</c:v>
          </c:tx>
          <c:spPr>
            <a:ln w="28575">
              <a:solidFill>
                <a:srgbClr val="FFC000"/>
              </a:solidFill>
              <a:prstDash val="solid"/>
            </a:ln>
          </c:spPr>
          <c:marker>
            <c:symbol val="none"/>
          </c:marker>
          <c:val>
            <c:numRef>
              <c:f>'Courbe In'!$AA$8:$CD$8</c:f>
              <c:numCache>
                <c:formatCode>0.00</c:formatCode>
                <c:ptCount val="56"/>
                <c:pt idx="0" formatCode="General">
                  <c:v>0</c:v>
                </c:pt>
                <c:pt idx="1">
                  <c:v>0</c:v>
                </c:pt>
                <c:pt idx="2">
                  <c:v>0</c:v>
                </c:pt>
                <c:pt idx="3">
                  <c:v>0</c:v>
                </c:pt>
                <c:pt idx="4" formatCode="General">
                  <c:v>0</c:v>
                </c:pt>
                <c:pt idx="5">
                  <c:v>0</c:v>
                </c:pt>
                <c:pt idx="6">
                  <c:v>0</c:v>
                </c:pt>
                <c:pt idx="7">
                  <c:v>0</c:v>
                </c:pt>
                <c:pt idx="8" formatCode="General">
                  <c:v>0</c:v>
                </c:pt>
                <c:pt idx="9">
                  <c:v>0</c:v>
                </c:pt>
                <c:pt idx="10">
                  <c:v>0</c:v>
                </c:pt>
                <c:pt idx="11">
                  <c:v>0</c:v>
                </c:pt>
                <c:pt idx="12" formatCode="General">
                  <c:v>0</c:v>
                </c:pt>
                <c:pt idx="13">
                  <c:v>0</c:v>
                </c:pt>
                <c:pt idx="14">
                  <c:v>0</c:v>
                </c:pt>
                <c:pt idx="15">
                  <c:v>0</c:v>
                </c:pt>
                <c:pt idx="16" formatCode="General">
                  <c:v>0</c:v>
                </c:pt>
                <c:pt idx="17">
                  <c:v>0</c:v>
                </c:pt>
                <c:pt idx="18">
                  <c:v>0</c:v>
                </c:pt>
                <c:pt idx="19">
                  <c:v>0</c:v>
                </c:pt>
                <c:pt idx="20" formatCode="General">
                  <c:v>0</c:v>
                </c:pt>
                <c:pt idx="21">
                  <c:v>0</c:v>
                </c:pt>
                <c:pt idx="22">
                  <c:v>0</c:v>
                </c:pt>
                <c:pt idx="23">
                  <c:v>0</c:v>
                </c:pt>
                <c:pt idx="24" formatCode="General">
                  <c:v>0</c:v>
                </c:pt>
                <c:pt idx="25">
                  <c:v>0</c:v>
                </c:pt>
                <c:pt idx="26">
                  <c:v>0</c:v>
                </c:pt>
                <c:pt idx="27">
                  <c:v>0</c:v>
                </c:pt>
                <c:pt idx="28" formatCode="General">
                  <c:v>0</c:v>
                </c:pt>
                <c:pt idx="29">
                  <c:v>0</c:v>
                </c:pt>
                <c:pt idx="30">
                  <c:v>0</c:v>
                </c:pt>
                <c:pt idx="31">
                  <c:v>0</c:v>
                </c:pt>
                <c:pt idx="32" formatCode="General">
                  <c:v>0</c:v>
                </c:pt>
                <c:pt idx="33">
                  <c:v>0</c:v>
                </c:pt>
                <c:pt idx="34">
                  <c:v>0</c:v>
                </c:pt>
                <c:pt idx="35">
                  <c:v>0</c:v>
                </c:pt>
                <c:pt idx="36" formatCode="General">
                  <c:v>0</c:v>
                </c:pt>
                <c:pt idx="37">
                  <c:v>0</c:v>
                </c:pt>
                <c:pt idx="38">
                  <c:v>0</c:v>
                </c:pt>
                <c:pt idx="39">
                  <c:v>0</c:v>
                </c:pt>
                <c:pt idx="40" formatCode="General">
                  <c:v>0</c:v>
                </c:pt>
                <c:pt idx="41">
                  <c:v>0</c:v>
                </c:pt>
                <c:pt idx="42">
                  <c:v>0</c:v>
                </c:pt>
                <c:pt idx="43">
                  <c:v>0</c:v>
                </c:pt>
                <c:pt idx="44" formatCode="General">
                  <c:v>0</c:v>
                </c:pt>
                <c:pt idx="45">
                  <c:v>0</c:v>
                </c:pt>
                <c:pt idx="46">
                  <c:v>0</c:v>
                </c:pt>
                <c:pt idx="47">
                  <c:v>0</c:v>
                </c:pt>
                <c:pt idx="48" formatCode="General">
                  <c:v>0</c:v>
                </c:pt>
                <c:pt idx="49">
                  <c:v>0</c:v>
                </c:pt>
                <c:pt idx="50">
                  <c:v>0</c:v>
                </c:pt>
                <c:pt idx="51">
                  <c:v>0</c:v>
                </c:pt>
                <c:pt idx="52" formatCode="General">
                  <c:v>0</c:v>
                </c:pt>
                <c:pt idx="53">
                  <c:v>0</c:v>
                </c:pt>
                <c:pt idx="54">
                  <c:v>0</c:v>
                </c:pt>
                <c:pt idx="55">
                  <c:v>0</c:v>
                </c:pt>
              </c:numCache>
            </c:numRef>
          </c:val>
          <c:smooth val="0"/>
          <c:extLst>
            <c:ext xmlns:c16="http://schemas.microsoft.com/office/drawing/2014/chart" uri="{C3380CC4-5D6E-409C-BE32-E72D297353CC}">
              <c16:uniqueId val="{00000002-39BD-4141-A6CB-5482ADABF1E9}"/>
            </c:ext>
          </c:extLst>
        </c:ser>
        <c:ser>
          <c:idx val="10"/>
          <c:order val="3"/>
          <c:tx>
            <c:v>Anr extrême</c:v>
          </c:tx>
          <c:spPr>
            <a:ln w="28575">
              <a:solidFill>
                <a:srgbClr val="FF0000"/>
              </a:solidFill>
              <a:prstDash val="solid"/>
            </a:ln>
          </c:spPr>
          <c:marker>
            <c:symbol val="none"/>
          </c:marker>
          <c:val>
            <c:numRef>
              <c:f>'Courbe In'!$AA$9:$CD$9</c:f>
              <c:numCache>
                <c:formatCode>0.00</c:formatCode>
                <c:ptCount val="56"/>
                <c:pt idx="0" formatCode="General">
                  <c:v>0</c:v>
                </c:pt>
                <c:pt idx="1">
                  <c:v>0</c:v>
                </c:pt>
                <c:pt idx="2">
                  <c:v>0</c:v>
                </c:pt>
                <c:pt idx="3">
                  <c:v>0</c:v>
                </c:pt>
                <c:pt idx="4" formatCode="General">
                  <c:v>0</c:v>
                </c:pt>
                <c:pt idx="5">
                  <c:v>0</c:v>
                </c:pt>
                <c:pt idx="6">
                  <c:v>0</c:v>
                </c:pt>
                <c:pt idx="7">
                  <c:v>0</c:v>
                </c:pt>
                <c:pt idx="8" formatCode="General">
                  <c:v>0</c:v>
                </c:pt>
                <c:pt idx="9">
                  <c:v>0</c:v>
                </c:pt>
                <c:pt idx="10">
                  <c:v>0</c:v>
                </c:pt>
                <c:pt idx="11">
                  <c:v>0</c:v>
                </c:pt>
                <c:pt idx="12" formatCode="General">
                  <c:v>0</c:v>
                </c:pt>
                <c:pt idx="13">
                  <c:v>0</c:v>
                </c:pt>
                <c:pt idx="14">
                  <c:v>0</c:v>
                </c:pt>
                <c:pt idx="15">
                  <c:v>0</c:v>
                </c:pt>
                <c:pt idx="16" formatCode="General">
                  <c:v>0</c:v>
                </c:pt>
                <c:pt idx="17">
                  <c:v>0</c:v>
                </c:pt>
                <c:pt idx="18">
                  <c:v>0</c:v>
                </c:pt>
                <c:pt idx="19">
                  <c:v>0</c:v>
                </c:pt>
                <c:pt idx="20" formatCode="General">
                  <c:v>0</c:v>
                </c:pt>
                <c:pt idx="21">
                  <c:v>0</c:v>
                </c:pt>
                <c:pt idx="22">
                  <c:v>0</c:v>
                </c:pt>
                <c:pt idx="23">
                  <c:v>0</c:v>
                </c:pt>
                <c:pt idx="24" formatCode="General">
                  <c:v>0</c:v>
                </c:pt>
                <c:pt idx="25">
                  <c:v>0</c:v>
                </c:pt>
                <c:pt idx="26">
                  <c:v>0</c:v>
                </c:pt>
                <c:pt idx="27">
                  <c:v>0</c:v>
                </c:pt>
                <c:pt idx="28" formatCode="General">
                  <c:v>0</c:v>
                </c:pt>
                <c:pt idx="29">
                  <c:v>0</c:v>
                </c:pt>
                <c:pt idx="30">
                  <c:v>0</c:v>
                </c:pt>
                <c:pt idx="31">
                  <c:v>0</c:v>
                </c:pt>
                <c:pt idx="32" formatCode="General">
                  <c:v>0</c:v>
                </c:pt>
                <c:pt idx="33">
                  <c:v>0</c:v>
                </c:pt>
                <c:pt idx="34">
                  <c:v>0</c:v>
                </c:pt>
                <c:pt idx="35">
                  <c:v>0</c:v>
                </c:pt>
                <c:pt idx="36" formatCode="General">
                  <c:v>0</c:v>
                </c:pt>
                <c:pt idx="37">
                  <c:v>0</c:v>
                </c:pt>
                <c:pt idx="38">
                  <c:v>0</c:v>
                </c:pt>
                <c:pt idx="39">
                  <c:v>0</c:v>
                </c:pt>
                <c:pt idx="40" formatCode="General">
                  <c:v>0</c:v>
                </c:pt>
                <c:pt idx="41">
                  <c:v>0</c:v>
                </c:pt>
                <c:pt idx="42">
                  <c:v>0</c:v>
                </c:pt>
                <c:pt idx="43">
                  <c:v>0</c:v>
                </c:pt>
                <c:pt idx="44" formatCode="General">
                  <c:v>0</c:v>
                </c:pt>
                <c:pt idx="45">
                  <c:v>0</c:v>
                </c:pt>
                <c:pt idx="46">
                  <c:v>0</c:v>
                </c:pt>
                <c:pt idx="47">
                  <c:v>0</c:v>
                </c:pt>
                <c:pt idx="48" formatCode="General">
                  <c:v>0</c:v>
                </c:pt>
                <c:pt idx="49">
                  <c:v>0</c:v>
                </c:pt>
                <c:pt idx="50">
                  <c:v>0</c:v>
                </c:pt>
                <c:pt idx="51">
                  <c:v>0</c:v>
                </c:pt>
                <c:pt idx="52" formatCode="General">
                  <c:v>0</c:v>
                </c:pt>
                <c:pt idx="53">
                  <c:v>0</c:v>
                </c:pt>
                <c:pt idx="54">
                  <c:v>0</c:v>
                </c:pt>
                <c:pt idx="55">
                  <c:v>0</c:v>
                </c:pt>
              </c:numCache>
            </c:numRef>
          </c:val>
          <c:smooth val="0"/>
          <c:extLst>
            <c:ext xmlns:c16="http://schemas.microsoft.com/office/drawing/2014/chart" uri="{C3380CC4-5D6E-409C-BE32-E72D297353CC}">
              <c16:uniqueId val="{00000003-39BD-4141-A6CB-5482ADABF1E9}"/>
            </c:ext>
          </c:extLst>
        </c:ser>
        <c:ser>
          <c:idx val="1"/>
          <c:order val="4"/>
          <c:tx>
            <c:strRef>
              <c:f>'Courbe In'!$Z$6</c:f>
              <c:strCache>
                <c:ptCount val="1"/>
                <c:pt idx="0">
                  <c:v>Surpoids</c:v>
                </c:pt>
              </c:strCache>
            </c:strRef>
          </c:tx>
          <c:spPr>
            <a:ln w="28575">
              <a:solidFill>
                <a:srgbClr val="993792"/>
              </a:solidFill>
              <a:prstDash val="solid"/>
            </a:ln>
          </c:spPr>
          <c:marker>
            <c:symbol val="none"/>
          </c:marker>
          <c:cat>
            <c:numRef>
              <c:f>'Courbe In'!$AA$2:$BB$2</c:f>
              <c:numCache>
                <c:formatCode>d/m</c:formatCode>
                <c:ptCount val="28"/>
                <c:pt idx="0">
                  <c:v>45337.840324074074</c:v>
                </c:pt>
                <c:pt idx="1">
                  <c:v>45344.840324074074</c:v>
                </c:pt>
                <c:pt idx="2">
                  <c:v>45351.840324074074</c:v>
                </c:pt>
                <c:pt idx="3">
                  <c:v>45358.840324074074</c:v>
                </c:pt>
                <c:pt idx="4">
                  <c:v>45365.840324074074</c:v>
                </c:pt>
                <c:pt idx="5">
                  <c:v>45372.840324074074</c:v>
                </c:pt>
                <c:pt idx="6">
                  <c:v>45379.840324074074</c:v>
                </c:pt>
                <c:pt idx="7">
                  <c:v>45386.840324074074</c:v>
                </c:pt>
                <c:pt idx="8">
                  <c:v>45393.840324074074</c:v>
                </c:pt>
                <c:pt idx="9">
                  <c:v>45400.840324074074</c:v>
                </c:pt>
                <c:pt idx="10">
                  <c:v>45407.840324074074</c:v>
                </c:pt>
                <c:pt idx="11">
                  <c:v>45414.840324074074</c:v>
                </c:pt>
                <c:pt idx="12">
                  <c:v>45421.840324074074</c:v>
                </c:pt>
                <c:pt idx="13">
                  <c:v>45428.840324074074</c:v>
                </c:pt>
                <c:pt idx="14">
                  <c:v>45435.840324074074</c:v>
                </c:pt>
                <c:pt idx="15">
                  <c:v>45442.840324074074</c:v>
                </c:pt>
                <c:pt idx="16">
                  <c:v>45449.840324074074</c:v>
                </c:pt>
                <c:pt idx="17">
                  <c:v>45456.840324074074</c:v>
                </c:pt>
                <c:pt idx="18">
                  <c:v>45463.840324074074</c:v>
                </c:pt>
                <c:pt idx="19">
                  <c:v>45470.840324074074</c:v>
                </c:pt>
                <c:pt idx="20">
                  <c:v>45477.840324074074</c:v>
                </c:pt>
                <c:pt idx="21">
                  <c:v>45484.840324074074</c:v>
                </c:pt>
                <c:pt idx="22">
                  <c:v>45491.840324074074</c:v>
                </c:pt>
                <c:pt idx="23">
                  <c:v>45498.840324074074</c:v>
                </c:pt>
                <c:pt idx="24">
                  <c:v>45505.840324074074</c:v>
                </c:pt>
                <c:pt idx="25">
                  <c:v>45512.840324074074</c:v>
                </c:pt>
                <c:pt idx="26">
                  <c:v>45519.840324074074</c:v>
                </c:pt>
                <c:pt idx="27">
                  <c:v>45526.840324074074</c:v>
                </c:pt>
              </c:numCache>
            </c:numRef>
          </c:cat>
          <c:val>
            <c:numRef>
              <c:f>'Courbe In'!$AA$6:$CD$6</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1"/>
          <c:extLst>
            <c:ext xmlns:c16="http://schemas.microsoft.com/office/drawing/2014/chart" uri="{C3380CC4-5D6E-409C-BE32-E72D297353CC}">
              <c16:uniqueId val="{00000004-39BD-4141-A6CB-5482ADABF1E9}"/>
            </c:ext>
          </c:extLst>
        </c:ser>
        <c:ser>
          <c:idx val="3"/>
          <c:order val="5"/>
          <c:tx>
            <c:strRef>
              <c:f>'Courbe In'!$Z$7</c:f>
              <c:strCache>
                <c:ptCount val="1"/>
                <c:pt idx="0">
                  <c:v>Obésité</c:v>
                </c:pt>
              </c:strCache>
            </c:strRef>
          </c:tx>
          <c:spPr>
            <a:ln w="28575">
              <a:solidFill>
                <a:srgbClr val="028812"/>
              </a:solidFill>
              <a:prstDash val="solid"/>
            </a:ln>
          </c:spPr>
          <c:marker>
            <c:symbol val="none"/>
          </c:marker>
          <c:cat>
            <c:numRef>
              <c:f>'Courbe In'!$AA$2:$BB$2</c:f>
              <c:numCache>
                <c:formatCode>d/m</c:formatCode>
                <c:ptCount val="28"/>
                <c:pt idx="0">
                  <c:v>45337.840324074074</c:v>
                </c:pt>
                <c:pt idx="1">
                  <c:v>45344.840324074074</c:v>
                </c:pt>
                <c:pt idx="2">
                  <c:v>45351.840324074074</c:v>
                </c:pt>
                <c:pt idx="3">
                  <c:v>45358.840324074074</c:v>
                </c:pt>
                <c:pt idx="4">
                  <c:v>45365.840324074074</c:v>
                </c:pt>
                <c:pt idx="5">
                  <c:v>45372.840324074074</c:v>
                </c:pt>
                <c:pt idx="6">
                  <c:v>45379.840324074074</c:v>
                </c:pt>
                <c:pt idx="7">
                  <c:v>45386.840324074074</c:v>
                </c:pt>
                <c:pt idx="8">
                  <c:v>45393.840324074074</c:v>
                </c:pt>
                <c:pt idx="9">
                  <c:v>45400.840324074074</c:v>
                </c:pt>
                <c:pt idx="10">
                  <c:v>45407.840324074074</c:v>
                </c:pt>
                <c:pt idx="11">
                  <c:v>45414.840324074074</c:v>
                </c:pt>
                <c:pt idx="12">
                  <c:v>45421.840324074074</c:v>
                </c:pt>
                <c:pt idx="13">
                  <c:v>45428.840324074074</c:v>
                </c:pt>
                <c:pt idx="14">
                  <c:v>45435.840324074074</c:v>
                </c:pt>
                <c:pt idx="15">
                  <c:v>45442.840324074074</c:v>
                </c:pt>
                <c:pt idx="16">
                  <c:v>45449.840324074074</c:v>
                </c:pt>
                <c:pt idx="17">
                  <c:v>45456.840324074074</c:v>
                </c:pt>
                <c:pt idx="18">
                  <c:v>45463.840324074074</c:v>
                </c:pt>
                <c:pt idx="19">
                  <c:v>45470.840324074074</c:v>
                </c:pt>
                <c:pt idx="20">
                  <c:v>45477.840324074074</c:v>
                </c:pt>
                <c:pt idx="21">
                  <c:v>45484.840324074074</c:v>
                </c:pt>
                <c:pt idx="22">
                  <c:v>45491.840324074074</c:v>
                </c:pt>
                <c:pt idx="23">
                  <c:v>45498.840324074074</c:v>
                </c:pt>
                <c:pt idx="24">
                  <c:v>45505.840324074074</c:v>
                </c:pt>
                <c:pt idx="25">
                  <c:v>45512.840324074074</c:v>
                </c:pt>
                <c:pt idx="26">
                  <c:v>45519.840324074074</c:v>
                </c:pt>
                <c:pt idx="27">
                  <c:v>45526.840324074074</c:v>
                </c:pt>
              </c:numCache>
            </c:numRef>
          </c:cat>
          <c:val>
            <c:numRef>
              <c:f>'Courbe In'!$AA$7:$CD$7</c:f>
              <c:numCache>
                <c:formatCode>General</c:formatCode>
                <c:ptCount val="5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numCache>
            </c:numRef>
          </c:val>
          <c:smooth val="1"/>
          <c:extLst>
            <c:ext xmlns:c16="http://schemas.microsoft.com/office/drawing/2014/chart" uri="{C3380CC4-5D6E-409C-BE32-E72D297353CC}">
              <c16:uniqueId val="{00000005-39BD-4141-A6CB-5482ADABF1E9}"/>
            </c:ext>
          </c:extLst>
        </c:ser>
        <c:ser>
          <c:idx val="2"/>
          <c:order val="6"/>
          <c:tx>
            <c:v>Pds réel</c:v>
          </c:tx>
          <c:spPr>
            <a:ln>
              <a:noFill/>
            </a:ln>
          </c:spPr>
          <c:marker>
            <c:symbol val="square"/>
            <c:size val="8"/>
            <c:spPr>
              <a:solidFill>
                <a:srgbClr val="FF0000"/>
              </a:solidFill>
            </c:spPr>
          </c:marker>
          <c:val>
            <c:numRef>
              <c:f>'Courbe In'!$B$8</c:f>
              <c:numCache>
                <c:formatCode>0.00</c:formatCode>
                <c:ptCount val="1"/>
                <c:pt idx="0">
                  <c:v>0</c:v>
                </c:pt>
              </c:numCache>
            </c:numRef>
          </c:val>
          <c:smooth val="0"/>
          <c:extLst>
            <c:ext xmlns:c16="http://schemas.microsoft.com/office/drawing/2014/chart" uri="{C3380CC4-5D6E-409C-BE32-E72D297353CC}">
              <c16:uniqueId val="{00000006-39BD-4141-A6CB-5482ADABF1E9}"/>
            </c:ext>
          </c:extLst>
        </c:ser>
        <c:ser>
          <c:idx val="4"/>
          <c:order val="7"/>
          <c:tx>
            <c:v>Pds perçu</c:v>
          </c:tx>
          <c:spPr>
            <a:ln>
              <a:noFill/>
            </a:ln>
          </c:spPr>
          <c:marker>
            <c:symbol val="square"/>
            <c:size val="8"/>
            <c:spPr>
              <a:solidFill>
                <a:srgbClr val="00B050"/>
              </a:solidFill>
            </c:spPr>
          </c:marker>
          <c:val>
            <c:numRef>
              <c:f>recueil!$K$3</c:f>
              <c:numCache>
                <c:formatCode>General</c:formatCode>
                <c:ptCount val="1"/>
                <c:pt idx="0">
                  <c:v>0</c:v>
                </c:pt>
              </c:numCache>
            </c:numRef>
          </c:val>
          <c:smooth val="0"/>
          <c:extLst>
            <c:ext xmlns:c16="http://schemas.microsoft.com/office/drawing/2014/chart" uri="{C3380CC4-5D6E-409C-BE32-E72D297353CC}">
              <c16:uniqueId val="{00000007-39BD-4141-A6CB-5482ADABF1E9}"/>
            </c:ext>
          </c:extLst>
        </c:ser>
        <c:ser>
          <c:idx val="7"/>
          <c:order val="8"/>
          <c:tx>
            <c:v>Pds idéal</c:v>
          </c:tx>
          <c:spPr>
            <a:ln>
              <a:noFill/>
            </a:ln>
          </c:spPr>
          <c:marker>
            <c:symbol val="square"/>
            <c:size val="8"/>
            <c:spPr>
              <a:solidFill>
                <a:schemeClr val="tx2"/>
              </a:solidFill>
            </c:spPr>
          </c:marker>
          <c:val>
            <c:numRef>
              <c:f>recueil!$K$4</c:f>
              <c:numCache>
                <c:formatCode>General</c:formatCode>
                <c:ptCount val="1"/>
                <c:pt idx="0">
                  <c:v>0</c:v>
                </c:pt>
              </c:numCache>
            </c:numRef>
          </c:val>
          <c:smooth val="0"/>
          <c:extLst>
            <c:ext xmlns:c16="http://schemas.microsoft.com/office/drawing/2014/chart" uri="{C3380CC4-5D6E-409C-BE32-E72D297353CC}">
              <c16:uniqueId val="{00000008-39BD-4141-A6CB-5482ADABF1E9}"/>
            </c:ext>
          </c:extLst>
        </c:ser>
        <c:ser>
          <c:idx val="8"/>
          <c:order val="9"/>
          <c:tx>
            <c:v>Moy. perçue</c:v>
          </c:tx>
          <c:spPr>
            <a:ln>
              <a:noFill/>
            </a:ln>
          </c:spPr>
          <c:marker>
            <c:symbol val="square"/>
            <c:size val="8"/>
            <c:spPr>
              <a:solidFill>
                <a:srgbClr val="00B0F0"/>
              </a:solidFill>
            </c:spPr>
          </c:marker>
          <c:val>
            <c:numRef>
              <c:f>recueil!$K$5</c:f>
              <c:numCache>
                <c:formatCode>General</c:formatCode>
                <c:ptCount val="1"/>
                <c:pt idx="0">
                  <c:v>0</c:v>
                </c:pt>
              </c:numCache>
            </c:numRef>
          </c:val>
          <c:smooth val="0"/>
          <c:extLst>
            <c:ext xmlns:c16="http://schemas.microsoft.com/office/drawing/2014/chart" uri="{C3380CC4-5D6E-409C-BE32-E72D297353CC}">
              <c16:uniqueId val="{00000009-39BD-4141-A6CB-5482ADABF1E9}"/>
            </c:ext>
          </c:extLst>
        </c:ser>
        <c:dLbls>
          <c:showLegendKey val="0"/>
          <c:showVal val="0"/>
          <c:showCatName val="0"/>
          <c:showSerName val="0"/>
          <c:showPercent val="0"/>
          <c:showBubbleSize val="0"/>
        </c:dLbls>
        <c:smooth val="0"/>
        <c:axId val="125552032"/>
        <c:axId val="125554512"/>
      </c:lineChart>
      <c:dateAx>
        <c:axId val="125552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dd/mm/yy;@" sourceLinked="0"/>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25554512"/>
        <c:crosses val="autoZero"/>
        <c:auto val="0"/>
        <c:lblOffset val="100"/>
        <c:baseTimeUnit val="days"/>
        <c:majorUnit val="7"/>
        <c:majorTimeUnit val="days"/>
        <c:minorUnit val="7"/>
        <c:minorTimeUnit val="days"/>
      </c:dateAx>
      <c:valAx>
        <c:axId val="125554512"/>
        <c:scaling>
          <c:orientation val="minMax"/>
          <c:max val="96"/>
          <c:min val="4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25552032"/>
        <c:crosses val="autoZero"/>
        <c:crossBetween val="between"/>
        <c:majorUnit val="1"/>
      </c:valAx>
      <c:spPr>
        <a:solidFill>
          <a:schemeClr val="bg1">
            <a:lumMod val="85000"/>
          </a:schemeClr>
        </a:solidFill>
        <a:ln w="12700">
          <a:solidFill>
            <a:srgbClr val="808080"/>
          </a:solidFill>
          <a:prstDash val="solid"/>
        </a:ln>
      </c:spPr>
    </c:plotArea>
    <c:legend>
      <c:legendPos val="r"/>
      <c:layout>
        <c:manualLayout>
          <c:xMode val="edge"/>
          <c:yMode val="edge"/>
          <c:x val="1.6276703967446599E-2"/>
          <c:y val="1.0638297872340399E-2"/>
          <c:w val="0.97965412004069197"/>
          <c:h val="6.0283687943262602E-2"/>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6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00003" footer="0.492125984500003"/>
    <c:pageSetup paperSize="9" orientation="landscape" horizontalDpi="-3"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Arial"/>
                <a:ea typeface="Arial"/>
                <a:cs typeface="Arial"/>
              </a:defRPr>
            </a:pPr>
            <a:r>
              <a:rPr lang="fr-CH" u="none"/>
              <a:t>Courbe d'Indice de Masse Corporelle (IMC) de 1 à 23 ans</a:t>
            </a:r>
          </a:p>
        </c:rich>
      </c:tx>
      <c:layout>
        <c:manualLayout>
          <c:xMode val="edge"/>
          <c:yMode val="edge"/>
          <c:x val="6.1383485104413903E-2"/>
          <c:y val="2.0569623112844201E-2"/>
        </c:manualLayout>
      </c:layout>
      <c:overlay val="0"/>
      <c:spPr>
        <a:noFill/>
        <a:ln w="25400">
          <a:noFill/>
        </a:ln>
      </c:spPr>
    </c:title>
    <c:autoTitleDeleted val="0"/>
    <c:plotArea>
      <c:layout>
        <c:manualLayout>
          <c:layoutTarget val="inner"/>
          <c:xMode val="edge"/>
          <c:yMode val="edge"/>
          <c:x val="6.2886597938144898E-2"/>
          <c:y val="0.110759493670886"/>
          <c:w val="0.76288659793814495"/>
          <c:h val="0.776898734177218"/>
        </c:manualLayout>
      </c:layout>
      <c:scatterChart>
        <c:scatterStyle val="lineMarker"/>
        <c:varyColors val="0"/>
        <c:ser>
          <c:idx val="2"/>
          <c:order val="4"/>
          <c:tx>
            <c:v>Sujet</c:v>
          </c:tx>
          <c:spPr>
            <a:ln w="25400">
              <a:noFill/>
            </a:ln>
          </c:spPr>
          <c:marker>
            <c:symbol val="triangle"/>
            <c:size val="5"/>
            <c:spPr>
              <a:solidFill>
                <a:srgbClr val="FFFF00"/>
              </a:solidFill>
            </c:spPr>
          </c:marker>
          <c:xVal>
            <c:numRef>
              <c:f>'Courbe IMC'!$C$20:$AZ$20</c:f>
              <c:numCache>
                <c:formatCode>General</c:formatCode>
                <c:ptCount val="50"/>
                <c:pt idx="0">
                  <c:v>22</c:v>
                </c:pt>
                <c:pt idx="1">
                  <c:v>22</c:v>
                </c:pt>
                <c:pt idx="2">
                  <c:v>22</c:v>
                </c:pt>
                <c:pt idx="3">
                  <c:v>22</c:v>
                </c:pt>
                <c:pt idx="4">
                  <c:v>22</c:v>
                </c:pt>
                <c:pt idx="5">
                  <c:v>22</c:v>
                </c:pt>
                <c:pt idx="6">
                  <c:v>22</c:v>
                </c:pt>
                <c:pt idx="7">
                  <c:v>22</c:v>
                </c:pt>
                <c:pt idx="8">
                  <c:v>22</c:v>
                </c:pt>
                <c:pt idx="9">
                  <c:v>22</c:v>
                </c:pt>
                <c:pt idx="10">
                  <c:v>22</c:v>
                </c:pt>
                <c:pt idx="11">
                  <c:v>22</c:v>
                </c:pt>
                <c:pt idx="12">
                  <c:v>22</c:v>
                </c:pt>
                <c:pt idx="13">
                  <c:v>22</c:v>
                </c:pt>
                <c:pt idx="14">
                  <c:v>22</c:v>
                </c:pt>
                <c:pt idx="15">
                  <c:v>22</c:v>
                </c:pt>
                <c:pt idx="16">
                  <c:v>22</c:v>
                </c:pt>
                <c:pt idx="17">
                  <c:v>22</c:v>
                </c:pt>
                <c:pt idx="18">
                  <c:v>22</c:v>
                </c:pt>
                <c:pt idx="19">
                  <c:v>22</c:v>
                </c:pt>
                <c:pt idx="20">
                  <c:v>22</c:v>
                </c:pt>
                <c:pt idx="21">
                  <c:v>22</c:v>
                </c:pt>
                <c:pt idx="22">
                  <c:v>22</c:v>
                </c:pt>
                <c:pt idx="23">
                  <c:v>22</c:v>
                </c:pt>
                <c:pt idx="24">
                  <c:v>22</c:v>
                </c:pt>
                <c:pt idx="25">
                  <c:v>22</c:v>
                </c:pt>
                <c:pt idx="26">
                  <c:v>22</c:v>
                </c:pt>
                <c:pt idx="27">
                  <c:v>22</c:v>
                </c:pt>
                <c:pt idx="28">
                  <c:v>22</c:v>
                </c:pt>
                <c:pt idx="29">
                  <c:v>22</c:v>
                </c:pt>
                <c:pt idx="30">
                  <c:v>22</c:v>
                </c:pt>
                <c:pt idx="31">
                  <c:v>22</c:v>
                </c:pt>
                <c:pt idx="32">
                  <c:v>22</c:v>
                </c:pt>
                <c:pt idx="33">
                  <c:v>22</c:v>
                </c:pt>
                <c:pt idx="34">
                  <c:v>22</c:v>
                </c:pt>
                <c:pt idx="35">
                  <c:v>22</c:v>
                </c:pt>
                <c:pt idx="36">
                  <c:v>22</c:v>
                </c:pt>
                <c:pt idx="37">
                  <c:v>22</c:v>
                </c:pt>
                <c:pt idx="38">
                  <c:v>22</c:v>
                </c:pt>
                <c:pt idx="39">
                  <c:v>22</c:v>
                </c:pt>
                <c:pt idx="40">
                  <c:v>22</c:v>
                </c:pt>
                <c:pt idx="41">
                  <c:v>22</c:v>
                </c:pt>
                <c:pt idx="42">
                  <c:v>22</c:v>
                </c:pt>
                <c:pt idx="43">
                  <c:v>22</c:v>
                </c:pt>
                <c:pt idx="44">
                  <c:v>22</c:v>
                </c:pt>
                <c:pt idx="45">
                  <c:v>22</c:v>
                </c:pt>
                <c:pt idx="46">
                  <c:v>22</c:v>
                </c:pt>
                <c:pt idx="47">
                  <c:v>22</c:v>
                </c:pt>
                <c:pt idx="48">
                  <c:v>22</c:v>
                </c:pt>
                <c:pt idx="49">
                  <c:v>22</c:v>
                </c:pt>
              </c:numCache>
            </c:numRef>
          </c:xVal>
          <c:yVal>
            <c:numRef>
              <c:f>'Courbe IMC'!$C$19:$AZ$19</c:f>
              <c:numCache>
                <c:formatCode>0.00</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yVal>
          <c:smooth val="0"/>
          <c:extLst>
            <c:ext xmlns:c16="http://schemas.microsoft.com/office/drawing/2014/chart" uri="{C3380CC4-5D6E-409C-BE32-E72D297353CC}">
              <c16:uniqueId val="{00000000-D414-40F1-A967-A67F8D7A7676}"/>
            </c:ext>
          </c:extLst>
        </c:ser>
        <c:dLbls>
          <c:showLegendKey val="0"/>
          <c:showVal val="0"/>
          <c:showCatName val="0"/>
          <c:showSerName val="0"/>
          <c:showPercent val="0"/>
          <c:showBubbleSize val="0"/>
        </c:dLbls>
        <c:axId val="125618080"/>
        <c:axId val="125620832"/>
      </c:scatterChart>
      <c:lineChart>
        <c:grouping val="standard"/>
        <c:varyColors val="0"/>
        <c:ser>
          <c:idx val="4"/>
          <c:order val="0"/>
          <c:tx>
            <c:v>Obésité</c:v>
          </c:tx>
          <c:spPr>
            <a:ln>
              <a:solidFill>
                <a:srgbClr val="00B050"/>
              </a:solidFill>
            </a:ln>
          </c:spPr>
          <c:marker>
            <c:symbol val="none"/>
          </c:marker>
          <c:val>
            <c:numRef>
              <c:f>'Courbe IMC'!$C$49:$X$49</c:f>
              <c:numCache>
                <c:formatCode>General</c:formatCode>
                <c:ptCount val="22"/>
                <c:pt idx="1">
                  <c:v>19.459</c:v>
                </c:pt>
                <c:pt idx="2">
                  <c:v>19.189</c:v>
                </c:pt>
                <c:pt idx="3">
                  <c:v>18.96875</c:v>
                </c:pt>
                <c:pt idx="4">
                  <c:v>18.961549999999999</c:v>
                </c:pt>
                <c:pt idx="5">
                  <c:v>19.324200000000001</c:v>
                </c:pt>
                <c:pt idx="6">
                  <c:v>20.234000000000002</c:v>
                </c:pt>
                <c:pt idx="7">
                  <c:v>21.287849999999999</c:v>
                </c:pt>
                <c:pt idx="8">
                  <c:v>22.634500000000003</c:v>
                </c:pt>
                <c:pt idx="9">
                  <c:v>24.0246</c:v>
                </c:pt>
                <c:pt idx="10">
                  <c:v>25.612000000000002</c:v>
                </c:pt>
                <c:pt idx="11">
                  <c:v>27.065500000000004</c:v>
                </c:pt>
                <c:pt idx="12">
                  <c:v>28.09375</c:v>
                </c:pt>
                <c:pt idx="13">
                  <c:v>28.797999999999998</c:v>
                </c:pt>
                <c:pt idx="14">
                  <c:v>29.297999999999998</c:v>
                </c:pt>
                <c:pt idx="15">
                  <c:v>29.671499999999998</c:v>
                </c:pt>
                <c:pt idx="16">
                  <c:v>29.973500000000001</c:v>
                </c:pt>
                <c:pt idx="17">
                  <c:v>30</c:v>
                </c:pt>
                <c:pt idx="18">
                  <c:v>30</c:v>
                </c:pt>
                <c:pt idx="19">
                  <c:v>30</c:v>
                </c:pt>
                <c:pt idx="20">
                  <c:v>30</c:v>
                </c:pt>
                <c:pt idx="21">
                  <c:v>30</c:v>
                </c:pt>
              </c:numCache>
            </c:numRef>
          </c:val>
          <c:smooth val="1"/>
          <c:extLst>
            <c:ext xmlns:c16="http://schemas.microsoft.com/office/drawing/2014/chart" uri="{C3380CC4-5D6E-409C-BE32-E72D297353CC}">
              <c16:uniqueId val="{00000001-D414-40F1-A967-A67F8D7A7676}"/>
            </c:ext>
          </c:extLst>
        </c:ser>
        <c:ser>
          <c:idx val="3"/>
          <c:order val="1"/>
          <c:tx>
            <c:v>Surpoids</c:v>
          </c:tx>
          <c:spPr>
            <a:ln>
              <a:solidFill>
                <a:srgbClr val="993792"/>
              </a:solidFill>
            </a:ln>
          </c:spPr>
          <c:marker>
            <c:symbol val="none"/>
          </c:marker>
          <c:val>
            <c:numRef>
              <c:f>'Courbe IMC'!$C$48:$X$48</c:f>
              <c:numCache>
                <c:formatCode>General</c:formatCode>
                <c:ptCount val="22"/>
                <c:pt idx="0">
                  <c:v>18.911500000000004</c:v>
                </c:pt>
                <c:pt idx="1">
                  <c:v>17.704499999999999</c:v>
                </c:pt>
                <c:pt idx="2">
                  <c:v>17.332000000000001</c:v>
                </c:pt>
                <c:pt idx="3">
                  <c:v>17.056700000000003</c:v>
                </c:pt>
                <c:pt idx="4">
                  <c:v>16.903124999999999</c:v>
                </c:pt>
                <c:pt idx="5">
                  <c:v>17.152100000000001</c:v>
                </c:pt>
                <c:pt idx="6">
                  <c:v>17.636800000000001</c:v>
                </c:pt>
                <c:pt idx="7">
                  <c:v>18.22485</c:v>
                </c:pt>
                <c:pt idx="8">
                  <c:v>18.888100000000001</c:v>
                </c:pt>
                <c:pt idx="9">
                  <c:v>19.925999999999998</c:v>
                </c:pt>
                <c:pt idx="10">
                  <c:v>20.944550000000003</c:v>
                </c:pt>
                <c:pt idx="11">
                  <c:v>22.039050000000003</c:v>
                </c:pt>
                <c:pt idx="12">
                  <c:v>22.891874999999999</c:v>
                </c:pt>
                <c:pt idx="13">
                  <c:v>23.618099999999998</c:v>
                </c:pt>
                <c:pt idx="14">
                  <c:v>24.151574999999998</c:v>
                </c:pt>
                <c:pt idx="15">
                  <c:v>24.46425</c:v>
                </c:pt>
                <c:pt idx="16">
                  <c:v>24.7331</c:v>
                </c:pt>
                <c:pt idx="17">
                  <c:v>25</c:v>
                </c:pt>
                <c:pt idx="18">
                  <c:v>25</c:v>
                </c:pt>
                <c:pt idx="19">
                  <c:v>25</c:v>
                </c:pt>
                <c:pt idx="20">
                  <c:v>25</c:v>
                </c:pt>
                <c:pt idx="21">
                  <c:v>25</c:v>
                </c:pt>
              </c:numCache>
            </c:numRef>
          </c:val>
          <c:smooth val="1"/>
          <c:extLst>
            <c:ext xmlns:c16="http://schemas.microsoft.com/office/drawing/2014/chart" uri="{C3380CC4-5D6E-409C-BE32-E72D297353CC}">
              <c16:uniqueId val="{00000002-D414-40F1-A967-A67F8D7A7676}"/>
            </c:ext>
          </c:extLst>
        </c:ser>
        <c:ser>
          <c:idx val="1"/>
          <c:order val="2"/>
          <c:tx>
            <c:strRef>
              <c:f>'Courbe IMC'!$B$50</c:f>
              <c:strCache>
                <c:ptCount val="1"/>
                <c:pt idx="0">
                  <c:v>Médiane</c:v>
                </c:pt>
              </c:strCache>
            </c:strRef>
          </c:tx>
          <c:spPr>
            <a:ln>
              <a:solidFill>
                <a:schemeClr val="accent1">
                  <a:lumMod val="60000"/>
                  <a:lumOff val="40000"/>
                </a:schemeClr>
              </a:solidFill>
              <a:prstDash val="dash"/>
            </a:ln>
          </c:spPr>
          <c:marker>
            <c:symbol val="none"/>
          </c:marker>
          <c:val>
            <c:numRef>
              <c:f>'Courbe IMC'!$C$50:$X$50</c:f>
              <c:numCache>
                <c:formatCode>General</c:formatCode>
                <c:ptCount val="22"/>
                <c:pt idx="0">
                  <c:v>17.491750000000003</c:v>
                </c:pt>
                <c:pt idx="1">
                  <c:v>16.475249999999999</c:v>
                </c:pt>
                <c:pt idx="2">
                  <c:v>15.969799999999999</c:v>
                </c:pt>
                <c:pt idx="3">
                  <c:v>15.684100000000001</c:v>
                </c:pt>
                <c:pt idx="4">
                  <c:v>15.508612499999998</c:v>
                </c:pt>
                <c:pt idx="5">
                  <c:v>15.539335000000001</c:v>
                </c:pt>
                <c:pt idx="6">
                  <c:v>15.8261</c:v>
                </c:pt>
                <c:pt idx="7">
                  <c:v>16.1448</c:v>
                </c:pt>
                <c:pt idx="8">
                  <c:v>16.659020000000002</c:v>
                </c:pt>
                <c:pt idx="9">
                  <c:v>17.365499999999997</c:v>
                </c:pt>
                <c:pt idx="10">
                  <c:v>18.1462</c:v>
                </c:pt>
                <c:pt idx="11">
                  <c:v>19.137600000000003</c:v>
                </c:pt>
                <c:pt idx="12">
                  <c:v>19.835437499999998</c:v>
                </c:pt>
                <c:pt idx="13">
                  <c:v>20.543999999999997</c:v>
                </c:pt>
                <c:pt idx="14">
                  <c:v>21.106837499999997</c:v>
                </c:pt>
                <c:pt idx="15">
                  <c:v>21.411225000000002</c:v>
                </c:pt>
                <c:pt idx="16">
                  <c:v>21.594999999999999</c:v>
                </c:pt>
                <c:pt idx="17">
                  <c:v>21.75</c:v>
                </c:pt>
                <c:pt idx="18">
                  <c:v>21.75</c:v>
                </c:pt>
                <c:pt idx="19">
                  <c:v>21.75</c:v>
                </c:pt>
                <c:pt idx="20">
                  <c:v>21.75</c:v>
                </c:pt>
                <c:pt idx="21">
                  <c:v>21.75</c:v>
                </c:pt>
              </c:numCache>
            </c:numRef>
          </c:val>
          <c:smooth val="0"/>
          <c:extLst>
            <c:ext xmlns:c16="http://schemas.microsoft.com/office/drawing/2014/chart" uri="{C3380CC4-5D6E-409C-BE32-E72D297353CC}">
              <c16:uniqueId val="{00000003-D414-40F1-A967-A67F8D7A7676}"/>
            </c:ext>
          </c:extLst>
        </c:ser>
        <c:ser>
          <c:idx val="0"/>
          <c:order val="3"/>
          <c:tx>
            <c:strRef>
              <c:f>'Courbe IMC'!$B$51</c:f>
              <c:strCache>
                <c:ptCount val="1"/>
                <c:pt idx="0">
                  <c:v>Limite inf.</c:v>
                </c:pt>
              </c:strCache>
            </c:strRef>
          </c:tx>
          <c:spPr>
            <a:ln>
              <a:solidFill>
                <a:srgbClr val="0000FF"/>
              </a:solidFill>
            </a:ln>
          </c:spPr>
          <c:marker>
            <c:symbol val="none"/>
          </c:marker>
          <c:val>
            <c:numRef>
              <c:f>'Courbe IMC'!$C$51:$X$51</c:f>
              <c:numCache>
                <c:formatCode>General</c:formatCode>
                <c:ptCount val="22"/>
                <c:pt idx="0">
                  <c:v>16.071999999999999</c:v>
                </c:pt>
                <c:pt idx="1">
                  <c:v>15.246</c:v>
                </c:pt>
                <c:pt idx="2">
                  <c:v>14.6076</c:v>
                </c:pt>
                <c:pt idx="3">
                  <c:v>14.311500000000001</c:v>
                </c:pt>
                <c:pt idx="4">
                  <c:v>14.114099999999999</c:v>
                </c:pt>
                <c:pt idx="5">
                  <c:v>13.92657</c:v>
                </c:pt>
                <c:pt idx="6">
                  <c:v>14.015400000000001</c:v>
                </c:pt>
                <c:pt idx="7">
                  <c:v>14.06475</c:v>
                </c:pt>
                <c:pt idx="8">
                  <c:v>14.42994</c:v>
                </c:pt>
                <c:pt idx="9">
                  <c:v>14.805</c:v>
                </c:pt>
                <c:pt idx="10">
                  <c:v>15.347850000000001</c:v>
                </c:pt>
                <c:pt idx="11">
                  <c:v>16.236150000000002</c:v>
                </c:pt>
                <c:pt idx="12">
                  <c:v>16.779</c:v>
                </c:pt>
                <c:pt idx="13">
                  <c:v>17.469899999999999</c:v>
                </c:pt>
                <c:pt idx="14">
                  <c:v>18.062099999999997</c:v>
                </c:pt>
                <c:pt idx="15">
                  <c:v>18.3582</c:v>
                </c:pt>
                <c:pt idx="16">
                  <c:v>18.456900000000001</c:v>
                </c:pt>
                <c:pt idx="17">
                  <c:v>18.5</c:v>
                </c:pt>
                <c:pt idx="18">
                  <c:v>18.5</c:v>
                </c:pt>
                <c:pt idx="19">
                  <c:v>18.5</c:v>
                </c:pt>
                <c:pt idx="20">
                  <c:v>18.5</c:v>
                </c:pt>
                <c:pt idx="21">
                  <c:v>18.5</c:v>
                </c:pt>
              </c:numCache>
            </c:numRef>
          </c:val>
          <c:smooth val="1"/>
          <c:extLst>
            <c:ext xmlns:c16="http://schemas.microsoft.com/office/drawing/2014/chart" uri="{C3380CC4-5D6E-409C-BE32-E72D297353CC}">
              <c16:uniqueId val="{00000004-D414-40F1-A967-A67F8D7A7676}"/>
            </c:ext>
          </c:extLst>
        </c:ser>
        <c:ser>
          <c:idx val="5"/>
          <c:order val="5"/>
          <c:tx>
            <c:v>Anorexie</c:v>
          </c:tx>
          <c:spPr>
            <a:ln w="25400">
              <a:solidFill>
                <a:srgbClr val="FFFF00"/>
              </a:solidFill>
              <a:prstDash val="solid"/>
            </a:ln>
          </c:spPr>
          <c:marker>
            <c:symbol val="none"/>
          </c:marker>
          <c:val>
            <c:numRef>
              <c:f>'Courbe IMC'!$C$45:$X$45</c:f>
              <c:numCache>
                <c:formatCode>General</c:formatCode>
                <c:ptCount val="22"/>
                <c:pt idx="9">
                  <c:v>13.36824</c:v>
                </c:pt>
                <c:pt idx="10">
                  <c:v>13.904620000000001</c:v>
                </c:pt>
                <c:pt idx="11">
                  <c:v>14.502890000000003</c:v>
                </c:pt>
                <c:pt idx="12">
                  <c:v>14.956750000000001</c:v>
                </c:pt>
                <c:pt idx="13">
                  <c:v>15.431240000000001</c:v>
                </c:pt>
                <c:pt idx="14">
                  <c:v>15.90573</c:v>
                </c:pt>
                <c:pt idx="15">
                  <c:v>16.230899999999998</c:v>
                </c:pt>
                <c:pt idx="16">
                  <c:v>16.673999999999999</c:v>
                </c:pt>
                <c:pt idx="17">
                  <c:v>17</c:v>
                </c:pt>
                <c:pt idx="18">
                  <c:v>17</c:v>
                </c:pt>
                <c:pt idx="19">
                  <c:v>17</c:v>
                </c:pt>
                <c:pt idx="20">
                  <c:v>17</c:v>
                </c:pt>
                <c:pt idx="21">
                  <c:v>17</c:v>
                </c:pt>
              </c:numCache>
            </c:numRef>
          </c:val>
          <c:smooth val="1"/>
          <c:extLst>
            <c:ext xmlns:c16="http://schemas.microsoft.com/office/drawing/2014/chart" uri="{C3380CC4-5D6E-409C-BE32-E72D297353CC}">
              <c16:uniqueId val="{00000005-D414-40F1-A967-A67F8D7A7676}"/>
            </c:ext>
          </c:extLst>
        </c:ser>
        <c:dLbls>
          <c:showLegendKey val="0"/>
          <c:showVal val="0"/>
          <c:showCatName val="0"/>
          <c:showSerName val="0"/>
          <c:showPercent val="0"/>
          <c:showBubbleSize val="0"/>
        </c:dLbls>
        <c:marker val="1"/>
        <c:smooth val="0"/>
        <c:axId val="125618080"/>
        <c:axId val="125620832"/>
      </c:lineChart>
      <c:dateAx>
        <c:axId val="125618080"/>
        <c:scaling>
          <c:orientation val="minMax"/>
        </c:scaling>
        <c:delete val="0"/>
        <c:axPos val="b"/>
        <c:majorGridlines>
          <c:spPr>
            <a:ln w="6350"/>
          </c:spPr>
        </c:majorGridlines>
        <c:minorGridlines/>
        <c:numFmt formatCode="#,##0" sourceLinked="0"/>
        <c:majorTickMark val="out"/>
        <c:minorTickMark val="none"/>
        <c:tickLblPos val="nextTo"/>
        <c:spPr>
          <a:ln w="3175">
            <a:solidFill>
              <a:srgbClr val="000000"/>
            </a:solidFill>
            <a:prstDash val="solid"/>
          </a:ln>
        </c:spPr>
        <c:txPr>
          <a:bodyPr rot="0" vert="horz" anchor="ctr" anchorCtr="0"/>
          <a:lstStyle/>
          <a:p>
            <a:pPr>
              <a:defRPr sz="1000" b="0" i="0" u="none" strike="noStrike" baseline="0">
                <a:solidFill>
                  <a:srgbClr val="000000"/>
                </a:solidFill>
                <a:latin typeface="Calibri"/>
                <a:ea typeface="Calibri"/>
                <a:cs typeface="Calibri"/>
              </a:defRPr>
            </a:pPr>
            <a:endParaRPr lang="fr-FR"/>
          </a:p>
        </c:txPr>
        <c:crossAx val="125620832"/>
        <c:crosses val="autoZero"/>
        <c:auto val="0"/>
        <c:lblOffset val="100"/>
        <c:baseTimeUnit val="days"/>
        <c:majorUnit val="1"/>
        <c:minorUnit val="1"/>
      </c:dateAx>
      <c:valAx>
        <c:axId val="125620832"/>
        <c:scaling>
          <c:orientation val="minMax"/>
          <c:max val="31"/>
          <c:min val="10"/>
        </c:scaling>
        <c:delete val="0"/>
        <c:axPos val="l"/>
        <c:majorGridlines/>
        <c:minorGridlines/>
        <c:title>
          <c:tx>
            <c:rich>
              <a:bodyPr/>
              <a:lstStyle/>
              <a:p>
                <a:pPr>
                  <a:defRPr sz="1200" b="1" i="0" u="none" strike="noStrike" baseline="0">
                    <a:solidFill>
                      <a:srgbClr val="000000"/>
                    </a:solidFill>
                    <a:latin typeface="Calibri"/>
                    <a:ea typeface="Calibri"/>
                    <a:cs typeface="Calibri"/>
                  </a:defRPr>
                </a:pPr>
                <a:r>
                  <a:rPr lang="fr-CH" sz="1200"/>
                  <a:t>IMC</a:t>
                </a:r>
              </a:p>
            </c:rich>
          </c:tx>
          <c:overlay val="0"/>
          <c:spPr>
            <a:noFill/>
            <a:ln w="25400">
              <a:noFill/>
            </a:ln>
          </c:spPr>
        </c:title>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5618080"/>
        <c:crossesAt val="0"/>
        <c:crossBetween val="midCat"/>
        <c:majorUnit val="1"/>
        <c:minorUnit val="1"/>
      </c:valAx>
      <c:spPr>
        <a:solidFill>
          <a:schemeClr val="bg1">
            <a:lumMod val="95000"/>
          </a:schemeClr>
        </a:solidFill>
        <a:ln w="25400">
          <a:solidFill>
            <a:srgbClr val="000000"/>
          </a:solidFill>
        </a:ln>
      </c:spPr>
    </c:plotArea>
    <c:legend>
      <c:legendPos val="r"/>
      <c:layout>
        <c:manualLayout>
          <c:xMode val="edge"/>
          <c:yMode val="edge"/>
          <c:x val="0.883505154639177"/>
          <c:y val="0.409810126582279"/>
          <c:w val="0.105000050042148"/>
          <c:h val="0.20370862019211"/>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1864958634243901E-2"/>
          <c:y val="4.2693007705074497E-2"/>
          <c:w val="0.90803887033978103"/>
          <c:h val="0.88177481298558202"/>
        </c:manualLayout>
      </c:layout>
      <c:lineChart>
        <c:grouping val="standard"/>
        <c:varyColors val="0"/>
        <c:ser>
          <c:idx val="0"/>
          <c:order val="0"/>
          <c:tx>
            <c:strRef>
              <c:f>crises!$B$3</c:f>
              <c:strCache>
                <c:ptCount val="1"/>
                <c:pt idx="0">
                  <c:v>Crise(s)</c:v>
                </c:pt>
              </c:strCache>
            </c:strRef>
          </c:tx>
          <c:cat>
            <c:strRef>
              <c:f>crises!$A$4:$A$43</c:f>
              <c:strCache>
                <c:ptCount val="40"/>
                <c:pt idx="0">
                  <c:v>S 1</c:v>
                </c:pt>
                <c:pt idx="1">
                  <c:v>S 2</c:v>
                </c:pt>
                <c:pt idx="2">
                  <c:v>S 3</c:v>
                </c:pt>
                <c:pt idx="3">
                  <c:v>S 4</c:v>
                </c:pt>
                <c:pt idx="4">
                  <c:v>S 5</c:v>
                </c:pt>
                <c:pt idx="5">
                  <c:v>S 6</c:v>
                </c:pt>
                <c:pt idx="6">
                  <c:v>S 7</c:v>
                </c:pt>
                <c:pt idx="7">
                  <c:v>S 8</c:v>
                </c:pt>
                <c:pt idx="8">
                  <c:v>S 9</c:v>
                </c:pt>
                <c:pt idx="9">
                  <c:v>S 10</c:v>
                </c:pt>
                <c:pt idx="10">
                  <c:v>S 11</c:v>
                </c:pt>
                <c:pt idx="11">
                  <c:v>S 12</c:v>
                </c:pt>
                <c:pt idx="12">
                  <c:v>S 13</c:v>
                </c:pt>
                <c:pt idx="13">
                  <c:v>S 14</c:v>
                </c:pt>
                <c:pt idx="14">
                  <c:v>S 15</c:v>
                </c:pt>
                <c:pt idx="15">
                  <c:v>S 16</c:v>
                </c:pt>
                <c:pt idx="16">
                  <c:v>S 17</c:v>
                </c:pt>
                <c:pt idx="17">
                  <c:v>S 18</c:v>
                </c:pt>
                <c:pt idx="18">
                  <c:v>S 19</c:v>
                </c:pt>
                <c:pt idx="19">
                  <c:v>S 20</c:v>
                </c:pt>
                <c:pt idx="20">
                  <c:v>S 21</c:v>
                </c:pt>
                <c:pt idx="21">
                  <c:v>S 22</c:v>
                </c:pt>
                <c:pt idx="22">
                  <c:v>S 23</c:v>
                </c:pt>
                <c:pt idx="23">
                  <c:v>S 24</c:v>
                </c:pt>
                <c:pt idx="24">
                  <c:v>S 25</c:v>
                </c:pt>
                <c:pt idx="25">
                  <c:v>S 26</c:v>
                </c:pt>
                <c:pt idx="26">
                  <c:v>S 27</c:v>
                </c:pt>
                <c:pt idx="27">
                  <c:v>S 28</c:v>
                </c:pt>
                <c:pt idx="28">
                  <c:v>S 29</c:v>
                </c:pt>
                <c:pt idx="29">
                  <c:v>S 30</c:v>
                </c:pt>
                <c:pt idx="30">
                  <c:v>S 31</c:v>
                </c:pt>
                <c:pt idx="31">
                  <c:v>S 32</c:v>
                </c:pt>
                <c:pt idx="32">
                  <c:v>S 33</c:v>
                </c:pt>
                <c:pt idx="33">
                  <c:v>S 34</c:v>
                </c:pt>
                <c:pt idx="34">
                  <c:v>S 35</c:v>
                </c:pt>
                <c:pt idx="35">
                  <c:v>S 36</c:v>
                </c:pt>
                <c:pt idx="36">
                  <c:v>S 37</c:v>
                </c:pt>
                <c:pt idx="37">
                  <c:v>S 38</c:v>
                </c:pt>
                <c:pt idx="38">
                  <c:v>S 39</c:v>
                </c:pt>
                <c:pt idx="39">
                  <c:v>S 40</c:v>
                </c:pt>
              </c:strCache>
            </c:strRef>
          </c:cat>
          <c:val>
            <c:numRef>
              <c:f>crises!$B$4:$B$43</c:f>
              <c:numCache>
                <c:formatCode>0</c:formatCode>
                <c:ptCount val="40"/>
              </c:numCache>
            </c:numRef>
          </c:val>
          <c:smooth val="0"/>
          <c:extLst>
            <c:ext xmlns:c16="http://schemas.microsoft.com/office/drawing/2014/chart" uri="{C3380CC4-5D6E-409C-BE32-E72D297353CC}">
              <c16:uniqueId val="{00000000-162E-4CCE-8A56-B45E1281A901}"/>
            </c:ext>
          </c:extLst>
        </c:ser>
        <c:ser>
          <c:idx val="1"/>
          <c:order val="1"/>
          <c:tx>
            <c:strRef>
              <c:f>crises!$C$3</c:f>
              <c:strCache>
                <c:ptCount val="1"/>
                <c:pt idx="0">
                  <c:v>Purge(s)</c:v>
                </c:pt>
              </c:strCache>
            </c:strRef>
          </c:tx>
          <c:cat>
            <c:strRef>
              <c:f>crises!$A$4:$A$43</c:f>
              <c:strCache>
                <c:ptCount val="40"/>
                <c:pt idx="0">
                  <c:v>S 1</c:v>
                </c:pt>
                <c:pt idx="1">
                  <c:v>S 2</c:v>
                </c:pt>
                <c:pt idx="2">
                  <c:v>S 3</c:v>
                </c:pt>
                <c:pt idx="3">
                  <c:v>S 4</c:v>
                </c:pt>
                <c:pt idx="4">
                  <c:v>S 5</c:v>
                </c:pt>
                <c:pt idx="5">
                  <c:v>S 6</c:v>
                </c:pt>
                <c:pt idx="6">
                  <c:v>S 7</c:v>
                </c:pt>
                <c:pt idx="7">
                  <c:v>S 8</c:v>
                </c:pt>
                <c:pt idx="8">
                  <c:v>S 9</c:v>
                </c:pt>
                <c:pt idx="9">
                  <c:v>S 10</c:v>
                </c:pt>
                <c:pt idx="10">
                  <c:v>S 11</c:v>
                </c:pt>
                <c:pt idx="11">
                  <c:v>S 12</c:v>
                </c:pt>
                <c:pt idx="12">
                  <c:v>S 13</c:v>
                </c:pt>
                <c:pt idx="13">
                  <c:v>S 14</c:v>
                </c:pt>
                <c:pt idx="14">
                  <c:v>S 15</c:v>
                </c:pt>
                <c:pt idx="15">
                  <c:v>S 16</c:v>
                </c:pt>
                <c:pt idx="16">
                  <c:v>S 17</c:v>
                </c:pt>
                <c:pt idx="17">
                  <c:v>S 18</c:v>
                </c:pt>
                <c:pt idx="18">
                  <c:v>S 19</c:v>
                </c:pt>
                <c:pt idx="19">
                  <c:v>S 20</c:v>
                </c:pt>
                <c:pt idx="20">
                  <c:v>S 21</c:v>
                </c:pt>
                <c:pt idx="21">
                  <c:v>S 22</c:v>
                </c:pt>
                <c:pt idx="22">
                  <c:v>S 23</c:v>
                </c:pt>
                <c:pt idx="23">
                  <c:v>S 24</c:v>
                </c:pt>
                <c:pt idx="24">
                  <c:v>S 25</c:v>
                </c:pt>
                <c:pt idx="25">
                  <c:v>S 26</c:v>
                </c:pt>
                <c:pt idx="26">
                  <c:v>S 27</c:v>
                </c:pt>
                <c:pt idx="27">
                  <c:v>S 28</c:v>
                </c:pt>
                <c:pt idx="28">
                  <c:v>S 29</c:v>
                </c:pt>
                <c:pt idx="29">
                  <c:v>S 30</c:v>
                </c:pt>
                <c:pt idx="30">
                  <c:v>S 31</c:v>
                </c:pt>
                <c:pt idx="31">
                  <c:v>S 32</c:v>
                </c:pt>
                <c:pt idx="32">
                  <c:v>S 33</c:v>
                </c:pt>
                <c:pt idx="33">
                  <c:v>S 34</c:v>
                </c:pt>
                <c:pt idx="34">
                  <c:v>S 35</c:v>
                </c:pt>
                <c:pt idx="35">
                  <c:v>S 36</c:v>
                </c:pt>
                <c:pt idx="36">
                  <c:v>S 37</c:v>
                </c:pt>
                <c:pt idx="37">
                  <c:v>S 38</c:v>
                </c:pt>
                <c:pt idx="38">
                  <c:v>S 39</c:v>
                </c:pt>
                <c:pt idx="39">
                  <c:v>S 40</c:v>
                </c:pt>
              </c:strCache>
            </c:strRef>
          </c:cat>
          <c:val>
            <c:numRef>
              <c:f>crises!$C$4:$C$43</c:f>
              <c:numCache>
                <c:formatCode>0</c:formatCode>
                <c:ptCount val="40"/>
              </c:numCache>
            </c:numRef>
          </c:val>
          <c:smooth val="0"/>
          <c:extLst>
            <c:ext xmlns:c16="http://schemas.microsoft.com/office/drawing/2014/chart" uri="{C3380CC4-5D6E-409C-BE32-E72D297353CC}">
              <c16:uniqueId val="{00000001-162E-4CCE-8A56-B45E1281A901}"/>
            </c:ext>
          </c:extLst>
        </c:ser>
        <c:dLbls>
          <c:showLegendKey val="0"/>
          <c:showVal val="0"/>
          <c:showCatName val="0"/>
          <c:showSerName val="0"/>
          <c:showPercent val="0"/>
          <c:showBubbleSize val="0"/>
        </c:dLbls>
        <c:marker val="1"/>
        <c:smooth val="0"/>
        <c:axId val="151993488"/>
        <c:axId val="151996240"/>
      </c:lineChart>
      <c:catAx>
        <c:axId val="1519934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1996240"/>
        <c:crosses val="autoZero"/>
        <c:auto val="1"/>
        <c:lblAlgn val="ctr"/>
        <c:lblOffset val="100"/>
        <c:noMultiLvlLbl val="0"/>
      </c:catAx>
      <c:valAx>
        <c:axId val="15199624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51993488"/>
        <c:crosses val="autoZero"/>
        <c:crossBetween val="between"/>
      </c:valAx>
    </c:plotArea>
    <c:legend>
      <c:legendPos val="r"/>
      <c:layout>
        <c:manualLayout>
          <c:xMode val="edge"/>
          <c:yMode val="edge"/>
          <c:x val="0.93939881048063201"/>
          <c:y val="0.44593553119010299"/>
          <c:w val="5.3367625783636297E-2"/>
          <c:h val="8.3822468268816994E-2"/>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5" l="0.70000000000000095" r="0.70000000000000095" t="0.75000000000000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Feuil1!$B$1</c:f>
              <c:strCache>
                <c:ptCount val="1"/>
                <c:pt idx="0">
                  <c:v> </c:v>
                </c:pt>
              </c:strCache>
            </c:strRef>
          </c:tx>
          <c:spPr>
            <a:ln w="38100">
              <a:solidFill>
                <a:schemeClr val="tx1"/>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Feuil1!$B$2:$B$371</c:f>
              <c:numCache>
                <c:formatCode>0.00</c:formatCode>
                <c:ptCount val="370"/>
                <c:pt idx="0">
                  <c:v>0</c:v>
                </c:pt>
              </c:numCache>
            </c:numRef>
          </c:val>
          <c:smooth val="1"/>
          <c:extLst>
            <c:ext xmlns:c16="http://schemas.microsoft.com/office/drawing/2014/chart" uri="{C3380CC4-5D6E-409C-BE32-E72D297353CC}">
              <c16:uniqueId val="{00000000-8521-44F9-8F2B-4751448890E9}"/>
            </c:ext>
          </c:extLst>
        </c:ser>
        <c:ser>
          <c:idx val="1"/>
          <c:order val="1"/>
          <c:tx>
            <c:strRef>
              <c:f>Feuil1!$C$1</c:f>
              <c:strCache>
                <c:ptCount val="1"/>
                <c:pt idx="0">
                  <c:v>Min Norme</c:v>
                </c:pt>
              </c:strCache>
            </c:strRef>
          </c:tx>
          <c:spPr>
            <a:ln w="34925">
              <a:solidFill>
                <a:srgbClr val="0070C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Feuil1!$C$2:$C$371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1-8521-44F9-8F2B-4751448890E9}"/>
            </c:ext>
          </c:extLst>
        </c:ser>
        <c:ser>
          <c:idx val="3"/>
          <c:order val="2"/>
          <c:tx>
            <c:strRef>
              <c:f>Feuil1!$E$1</c:f>
              <c:strCache>
                <c:ptCount val="1"/>
                <c:pt idx="0">
                  <c:v>An modérée</c:v>
                </c:pt>
              </c:strCache>
            </c:strRef>
          </c:tx>
          <c:spPr>
            <a:ln w="34925">
              <a:solidFill>
                <a:srgbClr val="FFFF0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Feuil1!$E$2:$E$371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3-8521-44F9-8F2B-4751448890E9}"/>
            </c:ext>
          </c:extLst>
        </c:ser>
        <c:ser>
          <c:idx val="5"/>
          <c:order val="3"/>
          <c:tx>
            <c:strRef>
              <c:f>Feuil1!$G$1</c:f>
              <c:strCache>
                <c:ptCount val="1"/>
                <c:pt idx="0">
                  <c:v>An sévère</c:v>
                </c:pt>
              </c:strCache>
            </c:strRef>
          </c:tx>
          <c:spPr>
            <a:ln w="34925">
              <a:solidFill>
                <a:srgbClr val="FFC00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Feuil1!$G$2:$G$371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5-8521-44F9-8F2B-4751448890E9}"/>
            </c:ext>
          </c:extLst>
        </c:ser>
        <c:ser>
          <c:idx val="6"/>
          <c:order val="4"/>
          <c:tx>
            <c:strRef>
              <c:f>Feuil1!$H$1</c:f>
              <c:strCache>
                <c:ptCount val="1"/>
                <c:pt idx="0">
                  <c:v>An extrême</c:v>
                </c:pt>
              </c:strCache>
            </c:strRef>
          </c:tx>
          <c:spPr>
            <a:ln w="34925">
              <a:solidFill>
                <a:srgbClr val="FF000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Feuil1!$H$2:$H$371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6-8521-44F9-8F2B-4751448890E9}"/>
            </c:ext>
          </c:extLst>
        </c:ser>
        <c:ser>
          <c:idx val="2"/>
          <c:order val="5"/>
          <c:tx>
            <c:strRef>
              <c:f>Feuil1!$D$1</c:f>
              <c:strCache>
                <c:ptCount val="1"/>
                <c:pt idx="0">
                  <c:v>Surpoids</c:v>
                </c:pt>
              </c:strCache>
            </c:strRef>
          </c:tx>
          <c:spPr>
            <a:ln w="34925">
              <a:solidFill>
                <a:srgbClr val="7030A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Feuil1!$D$2:$D$371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2-8521-44F9-8F2B-4751448890E9}"/>
            </c:ext>
          </c:extLst>
        </c:ser>
        <c:ser>
          <c:idx val="4"/>
          <c:order val="6"/>
          <c:tx>
            <c:strRef>
              <c:f>Feuil1!$F$1</c:f>
              <c:strCache>
                <c:ptCount val="1"/>
                <c:pt idx="0">
                  <c:v>Obésité</c:v>
                </c:pt>
              </c:strCache>
            </c:strRef>
          </c:tx>
          <c:spPr>
            <a:ln w="34925">
              <a:solidFill>
                <a:srgbClr val="008000"/>
              </a:solidFill>
            </a:ln>
          </c:spPr>
          <c:marker>
            <c:symbol val="none"/>
          </c:marker>
          <c:cat>
            <c:numRef>
              <c:f>Feuil1!$A$2:$A$371</c:f>
              <c:numCache>
                <c:formatCode>m/d/yyyy</c:formatCode>
                <c:ptCount val="370"/>
                <c:pt idx="0">
                  <c:v>45337.840324074074</c:v>
                </c:pt>
                <c:pt idx="1">
                  <c:v>45338.840324074074</c:v>
                </c:pt>
                <c:pt idx="2">
                  <c:v>45339.840324074074</c:v>
                </c:pt>
                <c:pt idx="3">
                  <c:v>45340.840324074074</c:v>
                </c:pt>
                <c:pt idx="4">
                  <c:v>45341.840324074074</c:v>
                </c:pt>
                <c:pt idx="5">
                  <c:v>45342.840324074074</c:v>
                </c:pt>
                <c:pt idx="6">
                  <c:v>45343.840324074074</c:v>
                </c:pt>
                <c:pt idx="7">
                  <c:v>45344.840324074074</c:v>
                </c:pt>
                <c:pt idx="8">
                  <c:v>45345.840324074074</c:v>
                </c:pt>
                <c:pt idx="9">
                  <c:v>45346.840324074074</c:v>
                </c:pt>
                <c:pt idx="10">
                  <c:v>45347.840324074074</c:v>
                </c:pt>
                <c:pt idx="11">
                  <c:v>45348.840324074074</c:v>
                </c:pt>
                <c:pt idx="12">
                  <c:v>45349.840324074074</c:v>
                </c:pt>
                <c:pt idx="13">
                  <c:v>45350.840324074074</c:v>
                </c:pt>
                <c:pt idx="14">
                  <c:v>45351.840324074074</c:v>
                </c:pt>
                <c:pt idx="15">
                  <c:v>45352.840324074074</c:v>
                </c:pt>
                <c:pt idx="16">
                  <c:v>45353.840324074074</c:v>
                </c:pt>
                <c:pt idx="17">
                  <c:v>45354.840324074074</c:v>
                </c:pt>
                <c:pt idx="18">
                  <c:v>45355.840324074074</c:v>
                </c:pt>
                <c:pt idx="19">
                  <c:v>45356.840324074074</c:v>
                </c:pt>
                <c:pt idx="20" formatCode="dd/mm/yy;@">
                  <c:v>45357.840324074074</c:v>
                </c:pt>
                <c:pt idx="21" formatCode="dd/mm/yy;@">
                  <c:v>45358.840324074074</c:v>
                </c:pt>
                <c:pt idx="22" formatCode="dd/mm/yy;@">
                  <c:v>45359.840324074074</c:v>
                </c:pt>
                <c:pt idx="23" formatCode="dd/mm/yy;@">
                  <c:v>45360.840324074074</c:v>
                </c:pt>
                <c:pt idx="24" formatCode="dd/mm/yy;@">
                  <c:v>45361.840324074074</c:v>
                </c:pt>
                <c:pt idx="25" formatCode="dd/mm/yy;@">
                  <c:v>45362.840324074074</c:v>
                </c:pt>
                <c:pt idx="26" formatCode="dd/mm/yy;@">
                  <c:v>45363.840324074074</c:v>
                </c:pt>
                <c:pt idx="27" formatCode="dd/mm/yy;@">
                  <c:v>45364.840324074074</c:v>
                </c:pt>
                <c:pt idx="28" formatCode="dd/mm/yy;@">
                  <c:v>45365.840324074074</c:v>
                </c:pt>
                <c:pt idx="29" formatCode="dd/mm/yy;@">
                  <c:v>45366.840324074074</c:v>
                </c:pt>
                <c:pt idx="30" formatCode="dd/mm/yy;@">
                  <c:v>45367.840324074074</c:v>
                </c:pt>
                <c:pt idx="31" formatCode="dd/mm/yy;@">
                  <c:v>45368.840324074074</c:v>
                </c:pt>
                <c:pt idx="32" formatCode="dd/mm/yy;@">
                  <c:v>45369.840324074074</c:v>
                </c:pt>
                <c:pt idx="33" formatCode="dd/mm/yy;@">
                  <c:v>45370.840324074074</c:v>
                </c:pt>
                <c:pt idx="34" formatCode="dd/mm/yy;@">
                  <c:v>45371.840324074074</c:v>
                </c:pt>
                <c:pt idx="35" formatCode="dd/mm/yy;@">
                  <c:v>45372.840324074074</c:v>
                </c:pt>
                <c:pt idx="36" formatCode="dd/mm/yy;@">
                  <c:v>45373.840324074074</c:v>
                </c:pt>
                <c:pt idx="37" formatCode="dd/mm/yy;@">
                  <c:v>45374.840324074074</c:v>
                </c:pt>
                <c:pt idx="38" formatCode="dd/mm/yy;@">
                  <c:v>45375.840324074074</c:v>
                </c:pt>
                <c:pt idx="39" formatCode="dd/mm/yy;@">
                  <c:v>45376.840324074074</c:v>
                </c:pt>
                <c:pt idx="40" formatCode="dd/mm/yy;@">
                  <c:v>45377.840324074074</c:v>
                </c:pt>
                <c:pt idx="41" formatCode="dd/mm/yy;@">
                  <c:v>45378.840324074074</c:v>
                </c:pt>
                <c:pt idx="42" formatCode="dd/mm/yy;@">
                  <c:v>45379.840324074074</c:v>
                </c:pt>
                <c:pt idx="43" formatCode="dd/mm/yy;@">
                  <c:v>45380.840324074074</c:v>
                </c:pt>
                <c:pt idx="44" formatCode="dd/mm/yy;@">
                  <c:v>45381.840324074074</c:v>
                </c:pt>
                <c:pt idx="45" formatCode="dd/mm/yy;@">
                  <c:v>45382.840324074074</c:v>
                </c:pt>
                <c:pt idx="46" formatCode="dd/mm/yy;@">
                  <c:v>45383.840324074074</c:v>
                </c:pt>
                <c:pt idx="47" formatCode="dd/mm/yy;@">
                  <c:v>45384.840324074074</c:v>
                </c:pt>
                <c:pt idx="48" formatCode="dd/mm/yy;@">
                  <c:v>45385.840324074074</c:v>
                </c:pt>
                <c:pt idx="49" formatCode="dd/mm/yy;@">
                  <c:v>45386.840324074074</c:v>
                </c:pt>
                <c:pt idx="50" formatCode="dd/mm/yy;@">
                  <c:v>45387.840324074074</c:v>
                </c:pt>
                <c:pt idx="51" formatCode="dd/mm/yy;@">
                  <c:v>45388.840324074074</c:v>
                </c:pt>
                <c:pt idx="52" formatCode="dd/mm/yy;@">
                  <c:v>45389.840324074074</c:v>
                </c:pt>
                <c:pt idx="53" formatCode="dd/mm/yy;@">
                  <c:v>45390.840324074074</c:v>
                </c:pt>
                <c:pt idx="54" formatCode="dd/mm/yy;@">
                  <c:v>45391.840324074074</c:v>
                </c:pt>
                <c:pt idx="55" formatCode="dd/mm/yy;@">
                  <c:v>45392.840324074074</c:v>
                </c:pt>
                <c:pt idx="56" formatCode="dd/mm/yy;@">
                  <c:v>45393.840324074074</c:v>
                </c:pt>
                <c:pt idx="57" formatCode="dd/mm/yy;@">
                  <c:v>45394.840324074074</c:v>
                </c:pt>
                <c:pt idx="58" formatCode="dd/mm/yy;@">
                  <c:v>45395.840324074074</c:v>
                </c:pt>
                <c:pt idx="59" formatCode="dd/mm/yy;@">
                  <c:v>45396.840324074074</c:v>
                </c:pt>
                <c:pt idx="60" formatCode="dd/mm/yy;@">
                  <c:v>45397.840324074074</c:v>
                </c:pt>
                <c:pt idx="61" formatCode="dd/mm/yy;@">
                  <c:v>45398.840324074074</c:v>
                </c:pt>
                <c:pt idx="62" formatCode="dd/mm/yy;@">
                  <c:v>45399.840324074074</c:v>
                </c:pt>
                <c:pt idx="63" formatCode="dd/mm/yy;@">
                  <c:v>45400.840324074074</c:v>
                </c:pt>
                <c:pt idx="64" formatCode="dd/mm/yy;@">
                  <c:v>45401.840324074074</c:v>
                </c:pt>
                <c:pt idx="65" formatCode="dd/mm/yy;@">
                  <c:v>45402.840324074074</c:v>
                </c:pt>
                <c:pt idx="66" formatCode="dd/mm/yy;@">
                  <c:v>45403.840324074074</c:v>
                </c:pt>
                <c:pt idx="67" formatCode="dd/mm/yy;@">
                  <c:v>45404.840324074074</c:v>
                </c:pt>
                <c:pt idx="68" formatCode="dd/mm/yy;@">
                  <c:v>45405.840324074074</c:v>
                </c:pt>
                <c:pt idx="69" formatCode="dd/mm/yy;@">
                  <c:v>45406.840324074074</c:v>
                </c:pt>
                <c:pt idx="70" formatCode="dd/mm/yy;@">
                  <c:v>45407.840324074074</c:v>
                </c:pt>
                <c:pt idx="71" formatCode="dd/mm/yy;@">
                  <c:v>45408.840324074074</c:v>
                </c:pt>
                <c:pt idx="72" formatCode="dd/mm/yy;@">
                  <c:v>45409.840324074074</c:v>
                </c:pt>
                <c:pt idx="73" formatCode="dd/mm/yy;@">
                  <c:v>45410.840324074074</c:v>
                </c:pt>
                <c:pt idx="74" formatCode="dd/mm/yy;@">
                  <c:v>45411.840324074074</c:v>
                </c:pt>
                <c:pt idx="75" formatCode="dd/mm/yy;@">
                  <c:v>45412.840324074074</c:v>
                </c:pt>
                <c:pt idx="76" formatCode="dd/mm/yy;@">
                  <c:v>45413.840324074074</c:v>
                </c:pt>
                <c:pt idx="77" formatCode="dd/mm/yy;@">
                  <c:v>45414.840324074074</c:v>
                </c:pt>
                <c:pt idx="78" formatCode="dd/mm/yy;@">
                  <c:v>45415.840324074074</c:v>
                </c:pt>
                <c:pt idx="79" formatCode="dd/mm/yy;@">
                  <c:v>45416.840324074074</c:v>
                </c:pt>
                <c:pt idx="80" formatCode="dd/mm/yy;@">
                  <c:v>45417.840324074074</c:v>
                </c:pt>
                <c:pt idx="81" formatCode="dd/mm/yy;@">
                  <c:v>45418.840324074074</c:v>
                </c:pt>
                <c:pt idx="82" formatCode="dd/mm/yy;@">
                  <c:v>45419.840324074074</c:v>
                </c:pt>
                <c:pt idx="83" formatCode="dd/mm/yy;@">
                  <c:v>45420.840324074074</c:v>
                </c:pt>
                <c:pt idx="84" formatCode="dd/mm/yy;@">
                  <c:v>45421.840324074074</c:v>
                </c:pt>
                <c:pt idx="85" formatCode="dd/mm/yy;@">
                  <c:v>45422.840324074074</c:v>
                </c:pt>
                <c:pt idx="86" formatCode="dd/mm/yy;@">
                  <c:v>45423.840324074074</c:v>
                </c:pt>
                <c:pt idx="87" formatCode="dd/mm/yy;@">
                  <c:v>45424.840324074074</c:v>
                </c:pt>
                <c:pt idx="88" formatCode="dd/mm/yy;@">
                  <c:v>45425.840324074074</c:v>
                </c:pt>
                <c:pt idx="89" formatCode="dd/mm/yy;@">
                  <c:v>45426.840324074074</c:v>
                </c:pt>
                <c:pt idx="90" formatCode="dd/mm/yy;@">
                  <c:v>45427.840324074074</c:v>
                </c:pt>
                <c:pt idx="91" formatCode="dd/mm/yy;@">
                  <c:v>45428.840324074074</c:v>
                </c:pt>
                <c:pt idx="92" formatCode="dd/mm/yy;@">
                  <c:v>45429.840324074074</c:v>
                </c:pt>
                <c:pt idx="93" formatCode="dd/mm/yy;@">
                  <c:v>45430.840324074074</c:v>
                </c:pt>
                <c:pt idx="94" formatCode="dd/mm/yy;@">
                  <c:v>45431.840324074074</c:v>
                </c:pt>
                <c:pt idx="95" formatCode="dd/mm/yy;@">
                  <c:v>45432.840324074074</c:v>
                </c:pt>
                <c:pt idx="96" formatCode="dd/mm/yy;@">
                  <c:v>45433.840324074074</c:v>
                </c:pt>
                <c:pt idx="97" formatCode="dd/mm/yy;@">
                  <c:v>45434.840324074074</c:v>
                </c:pt>
                <c:pt idx="98" formatCode="dd/mm/yy;@">
                  <c:v>45435.840324074074</c:v>
                </c:pt>
                <c:pt idx="99" formatCode="dd/mm/yy;@">
                  <c:v>45436.840324074074</c:v>
                </c:pt>
                <c:pt idx="100" formatCode="dd/mm/yy;@">
                  <c:v>45437.840324074074</c:v>
                </c:pt>
                <c:pt idx="101" formatCode="dd/mm/yy;@">
                  <c:v>45438.840324074074</c:v>
                </c:pt>
                <c:pt idx="102" formatCode="dd/mm/yy;@">
                  <c:v>45439.840324074074</c:v>
                </c:pt>
                <c:pt idx="103" formatCode="dd/mm/yy;@">
                  <c:v>45440.840324074074</c:v>
                </c:pt>
                <c:pt idx="104" formatCode="dd/mm/yy;@">
                  <c:v>45441.840324074074</c:v>
                </c:pt>
                <c:pt idx="105" formatCode="dd/mm/yy;@">
                  <c:v>45442.840324074074</c:v>
                </c:pt>
                <c:pt idx="106" formatCode="dd/mm/yy;@">
                  <c:v>45443.840324074074</c:v>
                </c:pt>
                <c:pt idx="107" formatCode="dd/mm/yy;@">
                  <c:v>45444.840324074074</c:v>
                </c:pt>
                <c:pt idx="108" formatCode="dd/mm/yy;@">
                  <c:v>45445.840324074074</c:v>
                </c:pt>
                <c:pt idx="109" formatCode="dd/mm/yy;@">
                  <c:v>45446.840324074074</c:v>
                </c:pt>
                <c:pt idx="110" formatCode="dd/mm/yy;@">
                  <c:v>45447.840324074074</c:v>
                </c:pt>
                <c:pt idx="111" formatCode="dd/mm/yy;@">
                  <c:v>45448.840324074074</c:v>
                </c:pt>
                <c:pt idx="112" formatCode="dd/mm/yy;@">
                  <c:v>45449.840324074074</c:v>
                </c:pt>
                <c:pt idx="113" formatCode="dd/mm/yy;@">
                  <c:v>45450.840324074074</c:v>
                </c:pt>
                <c:pt idx="114" formatCode="dd/mm/yy;@">
                  <c:v>45451.840324074074</c:v>
                </c:pt>
                <c:pt idx="115" formatCode="dd/mm/yy;@">
                  <c:v>45452.840324074074</c:v>
                </c:pt>
                <c:pt idx="116" formatCode="dd/mm/yy;@">
                  <c:v>45453.840324074074</c:v>
                </c:pt>
                <c:pt idx="117" formatCode="dd/mm/yy;@">
                  <c:v>45454.840324074074</c:v>
                </c:pt>
                <c:pt idx="118" formatCode="dd/mm/yy;@">
                  <c:v>45455.840324074074</c:v>
                </c:pt>
                <c:pt idx="119" formatCode="dd/mm/yy;@">
                  <c:v>45456.840324074074</c:v>
                </c:pt>
                <c:pt idx="120" formatCode="dd/mm/yy;@">
                  <c:v>45457.840324074074</c:v>
                </c:pt>
                <c:pt idx="121" formatCode="dd/mm/yy;@">
                  <c:v>45458.840324074074</c:v>
                </c:pt>
                <c:pt idx="122" formatCode="dd/mm/yy;@">
                  <c:v>45459.840324074074</c:v>
                </c:pt>
                <c:pt idx="123" formatCode="dd/mm/yy;@">
                  <c:v>45460.840324074074</c:v>
                </c:pt>
                <c:pt idx="124" formatCode="dd/mm/yy;@">
                  <c:v>45461.840324074074</c:v>
                </c:pt>
                <c:pt idx="125" formatCode="dd/mm/yy;@">
                  <c:v>45462.840324074074</c:v>
                </c:pt>
                <c:pt idx="126" formatCode="dd/mm/yy;@">
                  <c:v>45463.840324074074</c:v>
                </c:pt>
                <c:pt idx="127" formatCode="dd/mm/yy;@">
                  <c:v>45464.840324074074</c:v>
                </c:pt>
                <c:pt idx="128" formatCode="dd/mm/yy;@">
                  <c:v>45465.840324074074</c:v>
                </c:pt>
                <c:pt idx="129" formatCode="dd/mm/yy;@">
                  <c:v>45466.840324074074</c:v>
                </c:pt>
                <c:pt idx="130" formatCode="dd/mm/yy;@">
                  <c:v>45467.840324074074</c:v>
                </c:pt>
                <c:pt idx="131" formatCode="dd/mm/yy;@">
                  <c:v>45468.840324074074</c:v>
                </c:pt>
                <c:pt idx="132" formatCode="dd/mm/yy;@">
                  <c:v>45469.840324074074</c:v>
                </c:pt>
                <c:pt idx="133" formatCode="dd/mm/yy;@">
                  <c:v>45470.840324074074</c:v>
                </c:pt>
                <c:pt idx="134" formatCode="dd/mm/yy;@">
                  <c:v>45471.840324074074</c:v>
                </c:pt>
                <c:pt idx="135" formatCode="dd/mm/yy;@">
                  <c:v>45472.840324074074</c:v>
                </c:pt>
                <c:pt idx="136" formatCode="dd/mm/yy;@">
                  <c:v>45473.840324074074</c:v>
                </c:pt>
                <c:pt idx="137" formatCode="dd/mm/yy;@">
                  <c:v>45474.840324074074</c:v>
                </c:pt>
                <c:pt idx="138" formatCode="dd/mm/yy;@">
                  <c:v>45475.840324074074</c:v>
                </c:pt>
                <c:pt idx="139" formatCode="dd/mm/yy;@">
                  <c:v>45476.840324074074</c:v>
                </c:pt>
                <c:pt idx="140" formatCode="dd/mm/yy;@">
                  <c:v>45477.840324074074</c:v>
                </c:pt>
                <c:pt idx="141" formatCode="dd/mm/yy;@">
                  <c:v>45478.840324074074</c:v>
                </c:pt>
                <c:pt idx="142" formatCode="dd/mm/yy;@">
                  <c:v>45479.840324074074</c:v>
                </c:pt>
                <c:pt idx="143" formatCode="dd/mm/yy;@">
                  <c:v>45480.840324074074</c:v>
                </c:pt>
                <c:pt idx="144" formatCode="dd/mm/yy;@">
                  <c:v>45481.840324074074</c:v>
                </c:pt>
                <c:pt idx="145" formatCode="dd/mm/yy;@">
                  <c:v>45482.840324074074</c:v>
                </c:pt>
                <c:pt idx="146" formatCode="dd/mm/yy;@">
                  <c:v>45483.840324074074</c:v>
                </c:pt>
                <c:pt idx="147" formatCode="dd/mm/yy;@">
                  <c:v>45484.840324074074</c:v>
                </c:pt>
                <c:pt idx="148" formatCode="dd/mm/yy;@">
                  <c:v>45485.840324074074</c:v>
                </c:pt>
                <c:pt idx="149" formatCode="dd/mm/yy;@">
                  <c:v>45486.840324074074</c:v>
                </c:pt>
                <c:pt idx="150" formatCode="dd/mm/yy;@">
                  <c:v>45487.840324074074</c:v>
                </c:pt>
                <c:pt idx="151" formatCode="dd/mm/yy;@">
                  <c:v>45488.840324074074</c:v>
                </c:pt>
                <c:pt idx="152" formatCode="dd/mm/yy;@">
                  <c:v>45489.840324074074</c:v>
                </c:pt>
                <c:pt idx="153" formatCode="dd/mm/yy;@">
                  <c:v>45490.840324074074</c:v>
                </c:pt>
                <c:pt idx="154" formatCode="dd/mm/yy;@">
                  <c:v>45491.840324074074</c:v>
                </c:pt>
                <c:pt idx="155" formatCode="dd/mm/yy;@">
                  <c:v>45492.840324074074</c:v>
                </c:pt>
                <c:pt idx="156" formatCode="dd/mm/yy;@">
                  <c:v>45493.840324074074</c:v>
                </c:pt>
                <c:pt idx="157" formatCode="dd/mm/yy;@">
                  <c:v>45494.840324074074</c:v>
                </c:pt>
                <c:pt idx="158" formatCode="dd/mm/yy;@">
                  <c:v>45495.840324074074</c:v>
                </c:pt>
                <c:pt idx="159" formatCode="dd/mm/yy;@">
                  <c:v>45496.840324074074</c:v>
                </c:pt>
                <c:pt idx="160" formatCode="dd/mm/yy;@">
                  <c:v>45497.840324074074</c:v>
                </c:pt>
                <c:pt idx="161" formatCode="dd/mm/yy;@">
                  <c:v>45498.840324074074</c:v>
                </c:pt>
                <c:pt idx="162" formatCode="dd/mm/yy;@">
                  <c:v>45499.840324074074</c:v>
                </c:pt>
                <c:pt idx="163" formatCode="dd/mm/yy;@">
                  <c:v>45500.840324074074</c:v>
                </c:pt>
                <c:pt idx="164" formatCode="dd/mm/yy;@">
                  <c:v>45501.840324074074</c:v>
                </c:pt>
                <c:pt idx="165" formatCode="dd/mm/yy;@">
                  <c:v>45502.840324074074</c:v>
                </c:pt>
                <c:pt idx="166" formatCode="dd/mm/yy;@">
                  <c:v>45503.840324074074</c:v>
                </c:pt>
                <c:pt idx="167" formatCode="dd/mm/yy;@">
                  <c:v>45504.840324074074</c:v>
                </c:pt>
                <c:pt idx="168" formatCode="dd/mm/yy;@">
                  <c:v>45505.840324074074</c:v>
                </c:pt>
                <c:pt idx="169" formatCode="dd/mm/yy;@">
                  <c:v>45506.840324074074</c:v>
                </c:pt>
                <c:pt idx="170" formatCode="dd/mm/yy;@">
                  <c:v>45507.840324074074</c:v>
                </c:pt>
                <c:pt idx="171" formatCode="dd/mm/yy;@">
                  <c:v>45508.840324074074</c:v>
                </c:pt>
                <c:pt idx="172" formatCode="dd/mm/yy;@">
                  <c:v>45509.840324074074</c:v>
                </c:pt>
                <c:pt idx="173" formatCode="dd/mm/yy;@">
                  <c:v>45510.840324074074</c:v>
                </c:pt>
                <c:pt idx="174" formatCode="dd/mm/yy;@">
                  <c:v>45511.840324074074</c:v>
                </c:pt>
                <c:pt idx="175" formatCode="dd/mm/yy;@">
                  <c:v>45512.840324074074</c:v>
                </c:pt>
                <c:pt idx="176" formatCode="dd/mm/yy;@">
                  <c:v>45513.840324074074</c:v>
                </c:pt>
                <c:pt idx="177" formatCode="dd/mm/yy;@">
                  <c:v>45514.840324074074</c:v>
                </c:pt>
                <c:pt idx="178" formatCode="dd/mm/yy;@">
                  <c:v>45515.840324074074</c:v>
                </c:pt>
                <c:pt idx="179" formatCode="dd/mm/yy;@">
                  <c:v>45516.840324074074</c:v>
                </c:pt>
                <c:pt idx="180" formatCode="dd/mm/yy;@">
                  <c:v>45517.840324074074</c:v>
                </c:pt>
                <c:pt idx="181" formatCode="dd/mm/yy;@">
                  <c:v>45518.840324074074</c:v>
                </c:pt>
                <c:pt idx="182" formatCode="dd/mm/yy;@">
                  <c:v>45519.840324074074</c:v>
                </c:pt>
                <c:pt idx="183" formatCode="dd/mm/yy;@">
                  <c:v>45520.840324074074</c:v>
                </c:pt>
                <c:pt idx="184" formatCode="dd/mm/yy;@">
                  <c:v>45521.840324074074</c:v>
                </c:pt>
                <c:pt idx="185" formatCode="dd/mm/yy;@">
                  <c:v>45522.840324074074</c:v>
                </c:pt>
                <c:pt idx="186" formatCode="dd/mm/yy;@">
                  <c:v>45523.840324074074</c:v>
                </c:pt>
                <c:pt idx="187" formatCode="dd/mm/yy;@">
                  <c:v>45524.840324074074</c:v>
                </c:pt>
                <c:pt idx="188" formatCode="dd/mm/yy;@">
                  <c:v>45525.840324074074</c:v>
                </c:pt>
                <c:pt idx="189" formatCode="dd/mm/yy;@">
                  <c:v>45526.840324074074</c:v>
                </c:pt>
                <c:pt idx="190" formatCode="dd/mm/yy;@">
                  <c:v>45527.840324074074</c:v>
                </c:pt>
                <c:pt idx="191" formatCode="dd/mm/yy;@">
                  <c:v>45528.840324074074</c:v>
                </c:pt>
                <c:pt idx="192" formatCode="dd/mm/yy;@">
                  <c:v>45529.840324074074</c:v>
                </c:pt>
                <c:pt idx="193" formatCode="dd/mm/yy;@">
                  <c:v>45530.840324074074</c:v>
                </c:pt>
                <c:pt idx="194" formatCode="dd/mm/yy;@">
                  <c:v>45531.840324074074</c:v>
                </c:pt>
                <c:pt idx="195" formatCode="dd/mm/yy;@">
                  <c:v>45532.840324074074</c:v>
                </c:pt>
                <c:pt idx="196" formatCode="dd/mm/yy;@">
                  <c:v>45533.840324074074</c:v>
                </c:pt>
                <c:pt idx="197" formatCode="dd/mm/yy;@">
                  <c:v>45534.840324074074</c:v>
                </c:pt>
                <c:pt idx="198" formatCode="dd/mm/yy;@">
                  <c:v>45535.840324074074</c:v>
                </c:pt>
                <c:pt idx="199" formatCode="dd/mm/yy;@">
                  <c:v>45536.840324074074</c:v>
                </c:pt>
                <c:pt idx="200" formatCode="dd/mm/yy;@">
                  <c:v>45537.840324074074</c:v>
                </c:pt>
                <c:pt idx="201" formatCode="dd/mm/yy;@">
                  <c:v>45538.840324074074</c:v>
                </c:pt>
                <c:pt idx="202" formatCode="dd/mm/yy;@">
                  <c:v>45539.840324074074</c:v>
                </c:pt>
                <c:pt idx="203" formatCode="dd/mm/yy;@">
                  <c:v>45540.840324074074</c:v>
                </c:pt>
                <c:pt idx="204" formatCode="dd/mm/yy;@">
                  <c:v>45541.840324074074</c:v>
                </c:pt>
                <c:pt idx="205" formatCode="dd/mm/yy;@">
                  <c:v>45542.840324074074</c:v>
                </c:pt>
                <c:pt idx="206" formatCode="dd/mm/yy;@">
                  <c:v>45543.840324074074</c:v>
                </c:pt>
                <c:pt idx="207" formatCode="dd/mm/yy;@">
                  <c:v>45544.840324074074</c:v>
                </c:pt>
                <c:pt idx="208" formatCode="dd/mm/yy;@">
                  <c:v>45545.840324074074</c:v>
                </c:pt>
                <c:pt idx="209" formatCode="dd/mm/yy;@">
                  <c:v>45546.840324074074</c:v>
                </c:pt>
                <c:pt idx="210" formatCode="dd/mm/yy;@">
                  <c:v>45547.840324074074</c:v>
                </c:pt>
                <c:pt idx="211" formatCode="dd/mm/yy;@">
                  <c:v>45548.840324074074</c:v>
                </c:pt>
                <c:pt idx="212" formatCode="dd/mm/yy;@">
                  <c:v>45549.840324074074</c:v>
                </c:pt>
                <c:pt idx="213" formatCode="dd/mm/yy;@">
                  <c:v>45550.840324074074</c:v>
                </c:pt>
                <c:pt idx="214" formatCode="dd/mm/yy;@">
                  <c:v>45551.840324074074</c:v>
                </c:pt>
                <c:pt idx="215" formatCode="dd/mm/yy;@">
                  <c:v>45552.840324074074</c:v>
                </c:pt>
                <c:pt idx="216" formatCode="dd/mm/yy;@">
                  <c:v>45553.840324074074</c:v>
                </c:pt>
                <c:pt idx="217" formatCode="dd/mm/yy;@">
                  <c:v>45554.840324074074</c:v>
                </c:pt>
                <c:pt idx="218" formatCode="dd/mm/yy;@">
                  <c:v>45555.840324074074</c:v>
                </c:pt>
                <c:pt idx="219" formatCode="dd/mm/yy;@">
                  <c:v>45556.840324074074</c:v>
                </c:pt>
                <c:pt idx="220" formatCode="dd/mm/yy;@">
                  <c:v>45557.840324074074</c:v>
                </c:pt>
                <c:pt idx="221" formatCode="dd/mm/yy;@">
                  <c:v>45558.840324074074</c:v>
                </c:pt>
                <c:pt idx="222" formatCode="dd/mm/yy;@">
                  <c:v>45559.840324074074</c:v>
                </c:pt>
                <c:pt idx="223" formatCode="dd/mm/yy;@">
                  <c:v>45560.840324074074</c:v>
                </c:pt>
                <c:pt idx="224" formatCode="dd/mm/yy;@">
                  <c:v>45561.840324074074</c:v>
                </c:pt>
                <c:pt idx="225" formatCode="dd/mm/yy;@">
                  <c:v>45562.840324074074</c:v>
                </c:pt>
                <c:pt idx="226" formatCode="dd/mm/yy;@">
                  <c:v>45563.840324074074</c:v>
                </c:pt>
                <c:pt idx="227" formatCode="dd/mm/yy;@">
                  <c:v>45564.840324074074</c:v>
                </c:pt>
                <c:pt idx="228" formatCode="dd/mm/yy;@">
                  <c:v>45565.840324074074</c:v>
                </c:pt>
                <c:pt idx="229" formatCode="dd/mm/yy;@">
                  <c:v>45566.840324074074</c:v>
                </c:pt>
                <c:pt idx="230" formatCode="dd/mm/yy;@">
                  <c:v>45567.840324074074</c:v>
                </c:pt>
                <c:pt idx="231" formatCode="dd/mm/yy;@">
                  <c:v>45568.840324074074</c:v>
                </c:pt>
                <c:pt idx="232" formatCode="dd/mm/yy;@">
                  <c:v>45569.840324074074</c:v>
                </c:pt>
                <c:pt idx="233" formatCode="dd/mm/yy;@">
                  <c:v>45570.840324074074</c:v>
                </c:pt>
                <c:pt idx="234" formatCode="dd/mm/yy;@">
                  <c:v>45571.840324074074</c:v>
                </c:pt>
                <c:pt idx="235" formatCode="dd/mm/yy;@">
                  <c:v>45572.840324074074</c:v>
                </c:pt>
                <c:pt idx="236" formatCode="dd/mm/yy;@">
                  <c:v>45573.840324074074</c:v>
                </c:pt>
                <c:pt idx="237" formatCode="dd/mm/yy;@">
                  <c:v>45574.840324074074</c:v>
                </c:pt>
                <c:pt idx="238" formatCode="dd/mm/yy;@">
                  <c:v>45575.840324074074</c:v>
                </c:pt>
                <c:pt idx="239" formatCode="dd/mm/yy;@">
                  <c:v>45576.840324074074</c:v>
                </c:pt>
                <c:pt idx="240" formatCode="dd/mm/yy;@">
                  <c:v>45577.840324074074</c:v>
                </c:pt>
                <c:pt idx="241" formatCode="dd/mm/yy;@">
                  <c:v>45578.840324074074</c:v>
                </c:pt>
                <c:pt idx="242" formatCode="dd/mm/yy;@">
                  <c:v>45579.840324074074</c:v>
                </c:pt>
                <c:pt idx="243" formatCode="dd/mm/yy;@">
                  <c:v>45580.840324074074</c:v>
                </c:pt>
                <c:pt idx="244" formatCode="dd/mm/yy;@">
                  <c:v>45581.840324074074</c:v>
                </c:pt>
                <c:pt idx="245" formatCode="dd/mm/yy;@">
                  <c:v>45582.840324074074</c:v>
                </c:pt>
                <c:pt idx="246" formatCode="dd/mm/yy;@">
                  <c:v>45583.840324074074</c:v>
                </c:pt>
                <c:pt idx="247" formatCode="dd/mm/yy;@">
                  <c:v>45584.840324074074</c:v>
                </c:pt>
                <c:pt idx="248" formatCode="dd/mm/yy;@">
                  <c:v>45585.840324074074</c:v>
                </c:pt>
                <c:pt idx="249" formatCode="dd/mm/yy;@">
                  <c:v>45586.840324074074</c:v>
                </c:pt>
                <c:pt idx="250" formatCode="dd/mm/yy;@">
                  <c:v>45587.840324074074</c:v>
                </c:pt>
                <c:pt idx="251" formatCode="dd/mm/yy;@">
                  <c:v>45588.840324074074</c:v>
                </c:pt>
                <c:pt idx="252" formatCode="dd/mm/yy;@">
                  <c:v>45589.840324074074</c:v>
                </c:pt>
                <c:pt idx="253" formatCode="dd/mm/yy;@">
                  <c:v>45590.840324074074</c:v>
                </c:pt>
                <c:pt idx="254" formatCode="dd/mm/yy;@">
                  <c:v>45591.840324074074</c:v>
                </c:pt>
                <c:pt idx="255" formatCode="dd/mm/yy;@">
                  <c:v>45592.840324074074</c:v>
                </c:pt>
                <c:pt idx="256" formatCode="dd/mm/yy;@">
                  <c:v>45593.840324074074</c:v>
                </c:pt>
                <c:pt idx="257" formatCode="dd/mm/yy;@">
                  <c:v>45594.840324074074</c:v>
                </c:pt>
                <c:pt idx="258" formatCode="dd/mm/yy;@">
                  <c:v>45595.840324074074</c:v>
                </c:pt>
                <c:pt idx="259" formatCode="dd/mm/yy;@">
                  <c:v>45596.840324074074</c:v>
                </c:pt>
                <c:pt idx="260" formatCode="dd/mm/yy;@">
                  <c:v>45597.840324074074</c:v>
                </c:pt>
                <c:pt idx="261" formatCode="dd/mm/yy;@">
                  <c:v>45598.840324074074</c:v>
                </c:pt>
                <c:pt idx="262" formatCode="dd/mm/yy;@">
                  <c:v>45599.840324074074</c:v>
                </c:pt>
                <c:pt idx="263" formatCode="dd/mm/yy;@">
                  <c:v>45600.840324074074</c:v>
                </c:pt>
                <c:pt idx="264" formatCode="dd/mm/yy;@">
                  <c:v>45601.840324074074</c:v>
                </c:pt>
                <c:pt idx="265" formatCode="dd/mm/yy;@">
                  <c:v>45602.840324074074</c:v>
                </c:pt>
                <c:pt idx="266" formatCode="dd/mm/yy;@">
                  <c:v>45603.840324074074</c:v>
                </c:pt>
                <c:pt idx="267" formatCode="dd/mm/yy;@">
                  <c:v>45604.840324074074</c:v>
                </c:pt>
                <c:pt idx="268" formatCode="dd/mm/yy;@">
                  <c:v>45605.840324074074</c:v>
                </c:pt>
                <c:pt idx="269" formatCode="dd/mm/yy;@">
                  <c:v>45606.840324074074</c:v>
                </c:pt>
                <c:pt idx="270" formatCode="dd/mm/yy;@">
                  <c:v>45607.840324074074</c:v>
                </c:pt>
                <c:pt idx="271" formatCode="dd/mm/yy;@">
                  <c:v>45608.840324074074</c:v>
                </c:pt>
                <c:pt idx="272" formatCode="dd/mm/yy;@">
                  <c:v>45609.840324074074</c:v>
                </c:pt>
                <c:pt idx="273" formatCode="dd/mm/yy;@">
                  <c:v>45610.840324074074</c:v>
                </c:pt>
                <c:pt idx="274" formatCode="dd/mm/yy;@">
                  <c:v>45611.840324074074</c:v>
                </c:pt>
                <c:pt idx="275" formatCode="dd/mm/yy;@">
                  <c:v>45612.840324074074</c:v>
                </c:pt>
                <c:pt idx="276" formatCode="dd/mm/yy;@">
                  <c:v>45613.840324074074</c:v>
                </c:pt>
                <c:pt idx="277" formatCode="dd/mm/yy;@">
                  <c:v>45614.840324074074</c:v>
                </c:pt>
                <c:pt idx="278" formatCode="dd/mm/yy;@">
                  <c:v>45615.840324074074</c:v>
                </c:pt>
                <c:pt idx="279" formatCode="dd/mm/yy;@">
                  <c:v>45616.840324074074</c:v>
                </c:pt>
                <c:pt idx="280" formatCode="dd/mm/yy;@">
                  <c:v>45617.840324074074</c:v>
                </c:pt>
                <c:pt idx="281" formatCode="dd/mm/yy;@">
                  <c:v>45618.840324074074</c:v>
                </c:pt>
                <c:pt idx="282" formatCode="dd/mm/yy;@">
                  <c:v>45619.840324074074</c:v>
                </c:pt>
                <c:pt idx="283" formatCode="dd/mm/yy;@">
                  <c:v>45620.840324074074</c:v>
                </c:pt>
                <c:pt idx="284" formatCode="dd/mm/yy;@">
                  <c:v>45621.840324074074</c:v>
                </c:pt>
                <c:pt idx="285" formatCode="dd/mm/yy;@">
                  <c:v>45622.840324074074</c:v>
                </c:pt>
                <c:pt idx="286" formatCode="dd/mm/yy;@">
                  <c:v>45623.840324074074</c:v>
                </c:pt>
                <c:pt idx="287" formatCode="dd/mm/yy;@">
                  <c:v>45624.840324074074</c:v>
                </c:pt>
                <c:pt idx="288" formatCode="dd/mm/yy;@">
                  <c:v>45625.840324074074</c:v>
                </c:pt>
                <c:pt idx="289" formatCode="dd/mm/yy;@">
                  <c:v>45626.840324074074</c:v>
                </c:pt>
                <c:pt idx="290" formatCode="dd/mm/yy;@">
                  <c:v>45627.840324074074</c:v>
                </c:pt>
                <c:pt idx="291" formatCode="dd/mm/yy;@">
                  <c:v>45628.840324074074</c:v>
                </c:pt>
                <c:pt idx="292" formatCode="dd/mm/yy;@">
                  <c:v>45629.840324074074</c:v>
                </c:pt>
                <c:pt idx="293" formatCode="dd/mm/yy;@">
                  <c:v>45630.840324074074</c:v>
                </c:pt>
                <c:pt idx="294" formatCode="dd/mm/yy;@">
                  <c:v>45631.840324074074</c:v>
                </c:pt>
                <c:pt idx="295" formatCode="dd/mm/yy;@">
                  <c:v>45632.840324074074</c:v>
                </c:pt>
                <c:pt idx="296" formatCode="dd/mm/yy;@">
                  <c:v>45633.840324074074</c:v>
                </c:pt>
                <c:pt idx="297" formatCode="dd/mm/yy;@">
                  <c:v>45634.840324074074</c:v>
                </c:pt>
                <c:pt idx="298" formatCode="dd/mm/yy;@">
                  <c:v>45635.840324074074</c:v>
                </c:pt>
                <c:pt idx="299" formatCode="dd/mm/yy;@">
                  <c:v>45636.840324074074</c:v>
                </c:pt>
                <c:pt idx="300" formatCode="dd/mm/yy;@">
                  <c:v>45637.840324074074</c:v>
                </c:pt>
                <c:pt idx="301" formatCode="dd/mm/yy;@">
                  <c:v>45638.840324074074</c:v>
                </c:pt>
                <c:pt idx="302" formatCode="dd/mm/yy;@">
                  <c:v>45639.840324074074</c:v>
                </c:pt>
                <c:pt idx="303" formatCode="dd/mm/yy;@">
                  <c:v>45640.840324074074</c:v>
                </c:pt>
                <c:pt idx="304" formatCode="dd/mm/yy;@">
                  <c:v>45641.840324074074</c:v>
                </c:pt>
                <c:pt idx="305" formatCode="dd/mm/yy;@">
                  <c:v>45642.840324074074</c:v>
                </c:pt>
                <c:pt idx="306" formatCode="dd/mm/yy;@">
                  <c:v>45643.840324074074</c:v>
                </c:pt>
                <c:pt idx="307" formatCode="dd/mm/yy;@">
                  <c:v>45644.840324074074</c:v>
                </c:pt>
                <c:pt idx="308" formatCode="dd/mm/yy;@">
                  <c:v>45645.840324074074</c:v>
                </c:pt>
                <c:pt idx="309" formatCode="dd/mm/yy;@">
                  <c:v>45646.840324074074</c:v>
                </c:pt>
                <c:pt idx="310" formatCode="dd/mm/yy;@">
                  <c:v>45647.840324074074</c:v>
                </c:pt>
                <c:pt idx="311" formatCode="dd/mm/yy;@">
                  <c:v>45648.840324074074</c:v>
                </c:pt>
                <c:pt idx="312" formatCode="dd/mm/yy;@">
                  <c:v>45649.840324074074</c:v>
                </c:pt>
                <c:pt idx="313" formatCode="dd/mm/yy;@">
                  <c:v>45650.840324074074</c:v>
                </c:pt>
                <c:pt idx="314" formatCode="dd/mm/yy;@">
                  <c:v>45651.840324074074</c:v>
                </c:pt>
                <c:pt idx="315" formatCode="dd/mm/yy;@">
                  <c:v>45652.840324074074</c:v>
                </c:pt>
                <c:pt idx="316" formatCode="dd/mm/yy;@">
                  <c:v>45653.840324074074</c:v>
                </c:pt>
                <c:pt idx="317" formatCode="dd/mm/yy;@">
                  <c:v>45654.840324074074</c:v>
                </c:pt>
                <c:pt idx="318" formatCode="dd/mm/yy;@">
                  <c:v>45655.840324074074</c:v>
                </c:pt>
                <c:pt idx="319" formatCode="dd/mm/yy;@">
                  <c:v>45656.840324074074</c:v>
                </c:pt>
                <c:pt idx="320" formatCode="dd/mm/yy;@">
                  <c:v>45657.840324074074</c:v>
                </c:pt>
                <c:pt idx="321" formatCode="dd/mm/yy;@">
                  <c:v>45658.840324074074</c:v>
                </c:pt>
                <c:pt idx="322" formatCode="dd/mm/yy;@">
                  <c:v>45659.840324074074</c:v>
                </c:pt>
                <c:pt idx="323" formatCode="dd/mm/yy;@">
                  <c:v>45660.840324074074</c:v>
                </c:pt>
                <c:pt idx="324" formatCode="dd/mm/yy;@">
                  <c:v>45661.840324074074</c:v>
                </c:pt>
                <c:pt idx="325" formatCode="dd/mm/yy;@">
                  <c:v>45662.840324074074</c:v>
                </c:pt>
                <c:pt idx="326" formatCode="dd/mm/yy;@">
                  <c:v>45663.840324074074</c:v>
                </c:pt>
                <c:pt idx="327" formatCode="dd/mm/yy;@">
                  <c:v>45664.840324074074</c:v>
                </c:pt>
                <c:pt idx="328" formatCode="dd/mm/yy;@">
                  <c:v>45665.840324074074</c:v>
                </c:pt>
                <c:pt idx="329" formatCode="dd/mm/yy;@">
                  <c:v>45666.840324074074</c:v>
                </c:pt>
                <c:pt idx="330" formatCode="dd/mm/yy;@">
                  <c:v>45667.840324074074</c:v>
                </c:pt>
                <c:pt idx="331" formatCode="dd/mm/yy;@">
                  <c:v>45668.840324074074</c:v>
                </c:pt>
                <c:pt idx="332" formatCode="dd/mm/yy;@">
                  <c:v>45669.840324074074</c:v>
                </c:pt>
                <c:pt idx="333" formatCode="dd/mm/yy;@">
                  <c:v>45670.840324074074</c:v>
                </c:pt>
                <c:pt idx="334" formatCode="dd/mm/yy;@">
                  <c:v>45671.840324074074</c:v>
                </c:pt>
                <c:pt idx="335" formatCode="dd/mm/yy;@">
                  <c:v>45672.840324074074</c:v>
                </c:pt>
                <c:pt idx="336" formatCode="dd/mm/yy;@">
                  <c:v>45673.840324074074</c:v>
                </c:pt>
                <c:pt idx="337" formatCode="dd/mm/yy;@">
                  <c:v>45674.840324074074</c:v>
                </c:pt>
                <c:pt idx="338" formatCode="dd/mm/yy;@">
                  <c:v>45675.840324074074</c:v>
                </c:pt>
                <c:pt idx="339" formatCode="dd/mm/yy;@">
                  <c:v>45676.840324074074</c:v>
                </c:pt>
                <c:pt idx="340" formatCode="dd/mm/yy;@">
                  <c:v>45677.840324074074</c:v>
                </c:pt>
                <c:pt idx="341" formatCode="dd/mm/yy;@">
                  <c:v>45678.840324074074</c:v>
                </c:pt>
                <c:pt idx="342" formatCode="dd/mm/yy;@">
                  <c:v>45679.840324074074</c:v>
                </c:pt>
                <c:pt idx="343" formatCode="dd/mm/yy;@">
                  <c:v>45680.840324074074</c:v>
                </c:pt>
                <c:pt idx="344" formatCode="dd/mm/yy;@">
                  <c:v>45681.840324074074</c:v>
                </c:pt>
                <c:pt idx="345" formatCode="dd/mm/yy;@">
                  <c:v>45682.840324074074</c:v>
                </c:pt>
                <c:pt idx="346" formatCode="dd/mm/yy;@">
                  <c:v>45683.840324074074</c:v>
                </c:pt>
                <c:pt idx="347" formatCode="dd/mm/yy;@">
                  <c:v>45684.840324074074</c:v>
                </c:pt>
                <c:pt idx="348" formatCode="dd/mm/yy;@">
                  <c:v>45685.840324074074</c:v>
                </c:pt>
                <c:pt idx="349" formatCode="dd/mm/yy;@">
                  <c:v>45686.840324074074</c:v>
                </c:pt>
                <c:pt idx="350" formatCode="dd/mm/yy;@">
                  <c:v>45687.840324074074</c:v>
                </c:pt>
                <c:pt idx="351" formatCode="dd/mm/yy;@">
                  <c:v>45688.840324074074</c:v>
                </c:pt>
                <c:pt idx="352" formatCode="dd/mm/yy;@">
                  <c:v>45689.840324074074</c:v>
                </c:pt>
                <c:pt idx="353" formatCode="dd/mm/yy;@">
                  <c:v>45690.840324074074</c:v>
                </c:pt>
                <c:pt idx="354" formatCode="dd/mm/yy;@">
                  <c:v>45691.840324074074</c:v>
                </c:pt>
                <c:pt idx="355" formatCode="dd/mm/yy;@">
                  <c:v>45692.840324074074</c:v>
                </c:pt>
                <c:pt idx="356" formatCode="dd/mm/yy;@">
                  <c:v>45693.840324074074</c:v>
                </c:pt>
                <c:pt idx="357" formatCode="dd/mm/yy;@">
                  <c:v>45694.840324074074</c:v>
                </c:pt>
                <c:pt idx="358" formatCode="dd/mm/yy;@">
                  <c:v>45695.840324074074</c:v>
                </c:pt>
                <c:pt idx="359" formatCode="dd/mm/yy;@">
                  <c:v>45696.840324074074</c:v>
                </c:pt>
                <c:pt idx="360" formatCode="dd/mm/yy;@">
                  <c:v>45697.840324074074</c:v>
                </c:pt>
                <c:pt idx="361" formatCode="dd/mm/yy;@">
                  <c:v>45698.840324074074</c:v>
                </c:pt>
                <c:pt idx="362" formatCode="dd/mm/yy;@">
                  <c:v>45699.840324074074</c:v>
                </c:pt>
                <c:pt idx="363" formatCode="dd/mm/yy;@">
                  <c:v>45700.840324074074</c:v>
                </c:pt>
                <c:pt idx="364" formatCode="dd/mm/yy;@">
                  <c:v>45701.840324074074</c:v>
                </c:pt>
                <c:pt idx="365" formatCode="dd/mm/yy;@">
                  <c:v>45702.840324074074</c:v>
                </c:pt>
              </c:numCache>
            </c:numRef>
          </c:cat>
          <c:val>
            <c:numRef>
              <c:f>Feuil1!$F$2:$F$371</c:f>
              <c:numCache>
                <c:formatCode>General</c:formatCode>
                <c:ptCount val="37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8521-44F9-8F2B-4751448890E9}"/>
            </c:ext>
          </c:extLst>
        </c:ser>
        <c:dLbls>
          <c:showLegendKey val="0"/>
          <c:showVal val="0"/>
          <c:showCatName val="0"/>
          <c:showSerName val="0"/>
          <c:showPercent val="0"/>
          <c:showBubbleSize val="0"/>
        </c:dLbls>
        <c:smooth val="0"/>
        <c:axId val="124365408"/>
        <c:axId val="124368160"/>
      </c:lineChart>
      <c:dateAx>
        <c:axId val="124365408"/>
        <c:scaling>
          <c:orientation val="minMax"/>
        </c:scaling>
        <c:delete val="0"/>
        <c:axPos val="b"/>
        <c:majorGridlines>
          <c:spPr>
            <a:ln>
              <a:solidFill>
                <a:schemeClr val="bg1">
                  <a:lumMod val="65000"/>
                </a:schemeClr>
              </a:solidFill>
              <a:prstDash val="sysDot"/>
            </a:ln>
          </c:spPr>
        </c:majorGridlines>
        <c:minorGridlines>
          <c:spPr>
            <a:ln>
              <a:noFill/>
            </a:ln>
          </c:spPr>
        </c:minorGridlines>
        <c:numFmt formatCode="dd/mm/yy;@" sourceLinked="0"/>
        <c:majorTickMark val="out"/>
        <c:minorTickMark val="none"/>
        <c:tickLblPos val="nextTo"/>
        <c:txPr>
          <a:bodyPr/>
          <a:lstStyle/>
          <a:p>
            <a:pPr>
              <a:defRPr sz="1300" baseline="0"/>
            </a:pPr>
            <a:endParaRPr lang="fr-FR"/>
          </a:p>
        </c:txPr>
        <c:crossAx val="124368160"/>
        <c:crosses val="autoZero"/>
        <c:auto val="1"/>
        <c:lblOffset val="100"/>
        <c:baseTimeUnit val="days"/>
        <c:majorUnit val="7"/>
      </c:dateAx>
      <c:valAx>
        <c:axId val="124368160"/>
        <c:scaling>
          <c:orientation val="minMax"/>
          <c:max val="96"/>
          <c:min val="40"/>
        </c:scaling>
        <c:delete val="0"/>
        <c:axPos val="l"/>
        <c:majorGridlines>
          <c:spPr>
            <a:ln>
              <a:solidFill>
                <a:schemeClr val="bg1">
                  <a:lumMod val="65000"/>
                </a:schemeClr>
              </a:solidFill>
              <a:prstDash val="sysDot"/>
            </a:ln>
          </c:spPr>
        </c:majorGridlines>
        <c:minorGridlines>
          <c:spPr>
            <a:ln>
              <a:noFill/>
            </a:ln>
          </c:spPr>
        </c:minorGridlines>
        <c:numFmt formatCode="#,##0" sourceLinked="0"/>
        <c:majorTickMark val="out"/>
        <c:minorTickMark val="none"/>
        <c:tickLblPos val="nextTo"/>
        <c:txPr>
          <a:bodyPr/>
          <a:lstStyle/>
          <a:p>
            <a:pPr>
              <a:defRPr sz="1300" baseline="0"/>
            </a:pPr>
            <a:endParaRPr lang="fr-FR"/>
          </a:p>
        </c:txPr>
        <c:crossAx val="124365408"/>
        <c:crosses val="autoZero"/>
        <c:crossBetween val="between"/>
        <c:majorUnit val="1"/>
      </c:valAx>
      <c:spPr>
        <a:solidFill>
          <a:schemeClr val="bg1">
            <a:lumMod val="95000"/>
          </a:schemeClr>
        </a:solidFill>
      </c:spPr>
    </c:plotArea>
    <c:legend>
      <c:legendPos val="t"/>
      <c:layout>
        <c:manualLayout>
          <c:xMode val="edge"/>
          <c:yMode val="edge"/>
          <c:x val="0.314256537404701"/>
          <c:y val="1.74388360704988E-2"/>
          <c:w val="0.39153496033568702"/>
          <c:h val="2.9427740012450999E-2"/>
        </c:manualLayout>
      </c:layout>
      <c:overlay val="0"/>
      <c:txPr>
        <a:bodyPr/>
        <a:lstStyle/>
        <a:p>
          <a:pPr>
            <a:defRPr sz="1300" baseline="0"/>
          </a:pPr>
          <a:endParaRPr lang="fr-FR"/>
        </a:p>
      </c:txPr>
    </c:legend>
    <c:plotVisOnly val="1"/>
    <c:dispBlanksAs val="span"/>
    <c:showDLblsOverMax val="0"/>
  </c:chart>
  <c:spPr>
    <a:solidFill>
      <a:schemeClr val="bg1"/>
    </a:solidFill>
  </c:spPr>
  <c:txPr>
    <a:bodyPr/>
    <a:lstStyle/>
    <a:p>
      <a:pPr>
        <a:defRPr sz="1100" baseline="0"/>
      </a:pPr>
      <a:endParaRPr lang="fr-FR"/>
    </a:p>
  </c:txPr>
  <c:printSettings>
    <c:headerFooter/>
    <c:pageMargins b="0.74803149606299202" l="0.23622047244094499" r="0.23622047244094499" t="0.74803149606299202" header="0.31496062992126" footer="0.31496062992126"/>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sng" strike="noStrike" baseline="0">
                <a:solidFill>
                  <a:srgbClr val="000000"/>
                </a:solidFill>
                <a:latin typeface="Arial"/>
                <a:ea typeface="Arial"/>
                <a:cs typeface="Arial"/>
              </a:defRPr>
            </a:pPr>
            <a:r>
              <a:rPr lang="en-US" sz="2000" u="none"/>
              <a:t>Image du corps</a:t>
            </a:r>
          </a:p>
        </c:rich>
      </c:tx>
      <c:overlay val="0"/>
      <c:spPr>
        <a:noFill/>
        <a:ln w="25400">
          <a:noFill/>
        </a:ln>
      </c:spPr>
    </c:title>
    <c:autoTitleDeleted val="0"/>
    <c:plotArea>
      <c:layout/>
      <c:barChart>
        <c:barDir val="col"/>
        <c:grouping val="clustered"/>
        <c:varyColors val="0"/>
        <c:ser>
          <c:idx val="1"/>
          <c:order val="0"/>
          <c:tx>
            <c:strRef>
              <c:f>Archive1!$F$6</c:f>
              <c:strCache>
                <c:ptCount val="1"/>
              </c:strCache>
            </c:strRef>
          </c:tx>
          <c:spPr>
            <a:solidFill>
              <a:schemeClr val="accent2"/>
            </a:solidFill>
            <a:ln w="12700">
              <a:solidFill>
                <a:srgbClr val="000000"/>
              </a:solidFill>
              <a:prstDash val="solid"/>
            </a:ln>
          </c:spPr>
          <c:invertIfNegative val="0"/>
          <c:cat>
            <c:strRef>
              <c:f>Synthèse!$A$20:$V$20</c:f>
              <c:strCache>
                <c:ptCount val="22"/>
                <c:pt idx="0">
                  <c:v>Silhouette</c:v>
                </c:pt>
                <c:pt idx="1">
                  <c:v>Cheveux</c:v>
                </c:pt>
                <c:pt idx="2">
                  <c:v>Visage</c:v>
                </c:pt>
                <c:pt idx="3">
                  <c:v>Yeux</c:v>
                </c:pt>
                <c:pt idx="4">
                  <c:v>Nez</c:v>
                </c:pt>
                <c:pt idx="5">
                  <c:v>Bouche</c:v>
                </c:pt>
                <c:pt idx="6">
                  <c:v>Cou</c:v>
                </c:pt>
                <c:pt idx="7">
                  <c:v>Epaules</c:v>
                </c:pt>
                <c:pt idx="8">
                  <c:v>Bras</c:v>
                </c:pt>
                <c:pt idx="9">
                  <c:v>Avant-bras</c:v>
                </c:pt>
                <c:pt idx="10">
                  <c:v>Mains</c:v>
                </c:pt>
                <c:pt idx="11">
                  <c:v>Dos</c:v>
                </c:pt>
                <c:pt idx="12">
                  <c:v>Poitrine</c:v>
                </c:pt>
                <c:pt idx="13">
                  <c:v>Hanches</c:v>
                </c:pt>
                <c:pt idx="14">
                  <c:v>Ventre</c:v>
                </c:pt>
                <c:pt idx="15">
                  <c:v>Fesses</c:v>
                </c:pt>
                <c:pt idx="16">
                  <c:v>Cuisses</c:v>
                </c:pt>
                <c:pt idx="17">
                  <c:v>Genoux</c:v>
                </c:pt>
                <c:pt idx="18">
                  <c:v>Mollets</c:v>
                </c:pt>
                <c:pt idx="19">
                  <c:v>Pieds</c:v>
                </c:pt>
                <c:pt idx="20">
                  <c:v>Peau</c:v>
                </c:pt>
                <c:pt idx="21">
                  <c:v>Musculature</c:v>
                </c:pt>
              </c:strCache>
            </c:strRef>
          </c:cat>
          <c:val>
            <c:numRef>
              <c:f>Synthèse!$A$21:$V$21</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0-498D-422E-9DB1-24FB98122777}"/>
            </c:ext>
          </c:extLst>
        </c:ser>
        <c:ser>
          <c:idx val="2"/>
          <c:order val="1"/>
          <c:tx>
            <c:strRef>
              <c:f>Archive2!$F$6</c:f>
              <c:strCache>
                <c:ptCount val="1"/>
              </c:strCache>
            </c:strRef>
          </c:tx>
          <c:spPr>
            <a:solidFill>
              <a:srgbClr val="FFFFCC"/>
            </a:solidFill>
            <a:ln w="9525">
              <a:solidFill>
                <a:schemeClr val="tx1"/>
              </a:solidFill>
            </a:ln>
          </c:spPr>
          <c:invertIfNegative val="0"/>
          <c:cat>
            <c:strRef>
              <c:f>Synthèse!$A$20:$V$20</c:f>
              <c:strCache>
                <c:ptCount val="22"/>
                <c:pt idx="0">
                  <c:v>Silhouette</c:v>
                </c:pt>
                <c:pt idx="1">
                  <c:v>Cheveux</c:v>
                </c:pt>
                <c:pt idx="2">
                  <c:v>Visage</c:v>
                </c:pt>
                <c:pt idx="3">
                  <c:v>Yeux</c:v>
                </c:pt>
                <c:pt idx="4">
                  <c:v>Nez</c:v>
                </c:pt>
                <c:pt idx="5">
                  <c:v>Bouche</c:v>
                </c:pt>
                <c:pt idx="6">
                  <c:v>Cou</c:v>
                </c:pt>
                <c:pt idx="7">
                  <c:v>Epaules</c:v>
                </c:pt>
                <c:pt idx="8">
                  <c:v>Bras</c:v>
                </c:pt>
                <c:pt idx="9">
                  <c:v>Avant-bras</c:v>
                </c:pt>
                <c:pt idx="10">
                  <c:v>Mains</c:v>
                </c:pt>
                <c:pt idx="11">
                  <c:v>Dos</c:v>
                </c:pt>
                <c:pt idx="12">
                  <c:v>Poitrine</c:v>
                </c:pt>
                <c:pt idx="13">
                  <c:v>Hanches</c:v>
                </c:pt>
                <c:pt idx="14">
                  <c:v>Ventre</c:v>
                </c:pt>
                <c:pt idx="15">
                  <c:v>Fesses</c:v>
                </c:pt>
                <c:pt idx="16">
                  <c:v>Cuisses</c:v>
                </c:pt>
                <c:pt idx="17">
                  <c:v>Genoux</c:v>
                </c:pt>
                <c:pt idx="18">
                  <c:v>Mollets</c:v>
                </c:pt>
                <c:pt idx="19">
                  <c:v>Pieds</c:v>
                </c:pt>
                <c:pt idx="20">
                  <c:v>Peau</c:v>
                </c:pt>
                <c:pt idx="21">
                  <c:v>Musculature</c:v>
                </c:pt>
              </c:strCache>
            </c:strRef>
          </c:cat>
          <c:val>
            <c:numRef>
              <c:f>Synthèse!$A$23:$V$23</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1-498D-422E-9DB1-24FB98122777}"/>
            </c:ext>
          </c:extLst>
        </c:ser>
        <c:ser>
          <c:idx val="0"/>
          <c:order val="2"/>
          <c:tx>
            <c:strRef>
              <c:f>Archive3!$F$6</c:f>
              <c:strCache>
                <c:ptCount val="1"/>
              </c:strCache>
            </c:strRef>
          </c:tx>
          <c:spPr>
            <a:solidFill>
              <a:schemeClr val="accent6"/>
            </a:solidFill>
            <a:ln>
              <a:solidFill>
                <a:srgbClr val="000000"/>
              </a:solidFill>
            </a:ln>
          </c:spPr>
          <c:invertIfNegative val="0"/>
          <c:val>
            <c:numRef>
              <c:f>Synthèse!$A$25:$V$25</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2-498D-422E-9DB1-24FB98122777}"/>
            </c:ext>
          </c:extLst>
        </c:ser>
        <c:ser>
          <c:idx val="3"/>
          <c:order val="3"/>
          <c:tx>
            <c:strRef>
              <c:f>Archive4!$F$6</c:f>
              <c:strCache>
                <c:ptCount val="1"/>
              </c:strCache>
            </c:strRef>
          </c:tx>
          <c:spPr>
            <a:solidFill>
              <a:schemeClr val="tx2">
                <a:lumMod val="60000"/>
                <a:lumOff val="40000"/>
              </a:schemeClr>
            </a:solidFill>
            <a:ln>
              <a:solidFill>
                <a:srgbClr val="000000"/>
              </a:solidFill>
            </a:ln>
          </c:spPr>
          <c:invertIfNegative val="0"/>
          <c:val>
            <c:numRef>
              <c:f>Synthèse!$A$27:$V$27</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3-498D-422E-9DB1-24FB98122777}"/>
            </c:ext>
          </c:extLst>
        </c:ser>
        <c:ser>
          <c:idx val="4"/>
          <c:order val="4"/>
          <c:tx>
            <c:strRef>
              <c:f>Archive5!$F$6</c:f>
              <c:strCache>
                <c:ptCount val="1"/>
              </c:strCache>
            </c:strRef>
          </c:tx>
          <c:spPr>
            <a:solidFill>
              <a:srgbClr val="92D050"/>
            </a:solidFill>
            <a:ln>
              <a:solidFill>
                <a:srgbClr val="000000"/>
              </a:solidFill>
            </a:ln>
          </c:spPr>
          <c:invertIfNegative val="0"/>
          <c:val>
            <c:numRef>
              <c:f>Synthèse!$A$29:$V$29</c:f>
              <c:numCache>
                <c:formatCode>General</c:formatCode>
                <c:ptCount val="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4-498D-422E-9DB1-24FB98122777}"/>
            </c:ext>
          </c:extLst>
        </c:ser>
        <c:dLbls>
          <c:showLegendKey val="0"/>
          <c:showVal val="0"/>
          <c:showCatName val="0"/>
          <c:showSerName val="0"/>
          <c:showPercent val="0"/>
          <c:showBubbleSize val="0"/>
        </c:dLbls>
        <c:gapWidth val="75"/>
        <c:overlap val="-25"/>
        <c:axId val="154270176"/>
        <c:axId val="154272384"/>
      </c:barChart>
      <c:catAx>
        <c:axId val="154270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fr-FR"/>
          </a:p>
        </c:txPr>
        <c:crossAx val="154272384"/>
        <c:crosses val="autoZero"/>
        <c:auto val="1"/>
        <c:lblAlgn val="ctr"/>
        <c:lblOffset val="100"/>
        <c:noMultiLvlLbl val="0"/>
      </c:catAx>
      <c:valAx>
        <c:axId val="154272384"/>
        <c:scaling>
          <c:orientation val="minMax"/>
          <c:max val="6"/>
          <c:min val="0"/>
        </c:scaling>
        <c:delete val="0"/>
        <c:axPos val="l"/>
        <c:majorGridlines>
          <c:spPr>
            <a:ln w="3175">
              <a:solidFill>
                <a:srgbClr val="000000"/>
              </a:solidFill>
              <a:prstDash val="solid"/>
            </a:ln>
          </c:spPr>
        </c:majorGridlines>
        <c:numFmt formatCode="General" sourceLinked="1"/>
        <c:majorTickMark val="none"/>
        <c:minorTickMark val="none"/>
        <c:tickLblPos val="nextTo"/>
        <c:spPr>
          <a:ln w="25400">
            <a:noFill/>
          </a:ln>
        </c:spPr>
        <c:txPr>
          <a:bodyPr rot="0" vert="horz"/>
          <a:lstStyle/>
          <a:p>
            <a:pPr>
              <a:defRPr sz="900" b="0" i="0" u="none" strike="noStrike" baseline="0">
                <a:solidFill>
                  <a:srgbClr val="000000"/>
                </a:solidFill>
                <a:latin typeface="Arial"/>
                <a:ea typeface="Arial"/>
                <a:cs typeface="Arial"/>
              </a:defRPr>
            </a:pPr>
            <a:endParaRPr lang="fr-FR"/>
          </a:p>
        </c:txPr>
        <c:crossAx val="154270176"/>
        <c:crosses val="autoZero"/>
        <c:crossBetween val="between"/>
        <c:majorUnit val="1"/>
        <c:minorUnit val="1"/>
      </c:valAx>
      <c:spPr>
        <a:solidFill>
          <a:schemeClr val="bg1">
            <a:lumMod val="85000"/>
          </a:schemeClr>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Drop" dropLines="4" dropStyle="combo" dx="16" fmlaLink="recueil!$B$24" fmlaRange="listes!$A$36:$A$39" sel="0" val="0"/>
</file>

<file path=xl/ctrlProps/ctrlProp101.xml><?xml version="1.0" encoding="utf-8"?>
<formControlPr xmlns="http://schemas.microsoft.com/office/spreadsheetml/2009/9/main" objectType="Drop" dropLines="4" dropStyle="combo" dx="16" fmlaLink="recueil!$B$25" fmlaRange="listes!$A$41:$A$44" sel="0" val="0"/>
</file>

<file path=xl/ctrlProps/ctrlProp102.xml><?xml version="1.0" encoding="utf-8"?>
<formControlPr xmlns="http://schemas.microsoft.com/office/spreadsheetml/2009/9/main" objectType="Drop" dropLines="4" dropStyle="combo" dx="16" fmlaLink="recueil!$B$26" fmlaRange="listes!$A$41:$A$44" sel="0" val="0"/>
</file>

<file path=xl/ctrlProps/ctrlProp103.xml><?xml version="1.0" encoding="utf-8"?>
<formControlPr xmlns="http://schemas.microsoft.com/office/spreadsheetml/2009/9/main" objectType="Drop" dropLines="4" dropStyle="combo" dx="16" fmlaLink="recueil!$B$27" fmlaRange="listes!$A$41:$A$44" sel="0" val="0"/>
</file>

<file path=xl/ctrlProps/ctrlProp104.xml><?xml version="1.0" encoding="utf-8"?>
<formControlPr xmlns="http://schemas.microsoft.com/office/spreadsheetml/2009/9/main" objectType="Drop" dropLines="4" dropStyle="combo" dx="16" fmlaLink="recueil!$B$28" fmlaRange="listes!$A$64:$A$67" sel="0" val="0"/>
</file>

<file path=xl/ctrlProps/ctrlProp105.xml><?xml version="1.0" encoding="utf-8"?>
<formControlPr xmlns="http://schemas.microsoft.com/office/spreadsheetml/2009/9/main" objectType="Drop" dropLines="4" dropStyle="combo" dx="16" fmlaLink="recueil!$B$29" fmlaRange="listes!$A$36:$A$39" sel="0" val="0"/>
</file>

<file path=xl/ctrlProps/ctrlProp106.xml><?xml version="1.0" encoding="utf-8"?>
<formControlPr xmlns="http://schemas.microsoft.com/office/spreadsheetml/2009/9/main" objectType="Drop" dropLines="4" dropStyle="combo" dx="16" fmlaLink="recueil!$B$30" fmlaRange="listes!$A$36:$A$39" sel="0" val="0"/>
</file>

<file path=xl/ctrlProps/ctrlProp107.xml><?xml version="1.0" encoding="utf-8"?>
<formControlPr xmlns="http://schemas.microsoft.com/office/spreadsheetml/2009/9/main" objectType="Drop" dropLines="4" dropStyle="combo" dx="16" fmlaLink="recueil!$B$31" fmlaRange="listes!$A$36:$A$39" sel="0" val="0"/>
</file>

<file path=xl/ctrlProps/ctrlProp108.xml><?xml version="1.0" encoding="utf-8"?>
<formControlPr xmlns="http://schemas.microsoft.com/office/spreadsheetml/2009/9/main" objectType="Drop" dropLines="4" dropStyle="combo" dx="16" fmlaLink="recueil!$B$32" fmlaRange="listes!$A$21:$A$24" sel="0" val="0"/>
</file>

<file path=xl/ctrlProps/ctrlProp109.xml><?xml version="1.0" encoding="utf-8"?>
<formControlPr xmlns="http://schemas.microsoft.com/office/spreadsheetml/2009/9/main" objectType="Drop" dropLines="4" dropStyle="combo" dx="16" fmlaLink="recueil!$B$33" fmlaRange="listes!$A$21:$A$24" sel="0" val="0"/>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Drop" dropLines="4" dropStyle="combo" dx="16" fmlaLink="recueil!$B$34" fmlaRange="listes!$A$21:$A$24" sel="0" val="0"/>
</file>

<file path=xl/ctrlProps/ctrlProp111.xml><?xml version="1.0" encoding="utf-8"?>
<formControlPr xmlns="http://schemas.microsoft.com/office/spreadsheetml/2009/9/main" objectType="Drop" dropLines="4" dropStyle="combo" dx="16" fmlaLink="recueil!$B$35" fmlaRange="listes!$A$21:$A$24" sel="0" val="0"/>
</file>

<file path=xl/ctrlProps/ctrlProp112.xml><?xml version="1.0" encoding="utf-8"?>
<formControlPr xmlns="http://schemas.microsoft.com/office/spreadsheetml/2009/9/main" objectType="Drop" dropLines="4" dropStyle="combo" dx="16" fmlaLink="recueil!$B$36" fmlaRange="listes!$A$36:$A$39" sel="0" val="0"/>
</file>

<file path=xl/ctrlProps/ctrlProp113.xml><?xml version="1.0" encoding="utf-8"?>
<formControlPr xmlns="http://schemas.microsoft.com/office/spreadsheetml/2009/9/main" objectType="Drop" dropLines="4" dropStyle="combo" dx="16" fmlaLink="recueil!$B$37" fmlaRange="listes!$A$41:$A$44" sel="0" val="0"/>
</file>

<file path=xl/ctrlProps/ctrlProp114.xml><?xml version="1.0" encoding="utf-8"?>
<formControlPr xmlns="http://schemas.microsoft.com/office/spreadsheetml/2009/9/main" objectType="Drop" dropLines="4" dropStyle="combo" dx="16" fmlaLink="recueil!$B$38" fmlaRange="listes!$A$36:$A$39" sel="0" val="0"/>
</file>

<file path=xl/ctrlProps/ctrlProp115.xml><?xml version="1.0" encoding="utf-8"?>
<formControlPr xmlns="http://schemas.microsoft.com/office/spreadsheetml/2009/9/main" objectType="Drop" dropLines="4" dropStyle="combo" dx="16" fmlaLink="recueil!$B$39" fmlaRange="listes!$A$36:$A$39" sel="0" val="0"/>
</file>

<file path=xl/ctrlProps/ctrlProp116.xml><?xml version="1.0" encoding="utf-8"?>
<formControlPr xmlns="http://schemas.microsoft.com/office/spreadsheetml/2009/9/main" objectType="Drop" dropLines="4" dropStyle="combo" dx="16" fmlaLink="recueil!$B$40" fmlaRange="listes!$A$36:$A$39" sel="0" val="0"/>
</file>

<file path=xl/ctrlProps/ctrlProp117.xml><?xml version="1.0" encoding="utf-8"?>
<formControlPr xmlns="http://schemas.microsoft.com/office/spreadsheetml/2009/9/main" objectType="Drop" dropLines="11" dropStyle="combo" dx="16" fmlaLink="recueil!$B$41" fmlaRange="listes!$H$1:$H$11" sel="0" val="0"/>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Drop" dropLines="44" dropStyle="combo" dx="16" fmlaLink="recueil!$I$16" fmlaRange="listes!$L$32:$L$36" sel="0" val="0"/>
</file>

<file path=xl/ctrlProps/ctrlProp121.xml><?xml version="1.0" encoding="utf-8"?>
<formControlPr xmlns="http://schemas.microsoft.com/office/spreadsheetml/2009/9/main" objectType="Drop" dropLines="44" dropStyle="combo" dx="16" fmlaLink="recueil!$I$17" fmlaRange="listes!$L$32:$L$36" sel="0" val="0"/>
</file>

<file path=xl/ctrlProps/ctrlProp122.xml><?xml version="1.0" encoding="utf-8"?>
<formControlPr xmlns="http://schemas.microsoft.com/office/spreadsheetml/2009/9/main" objectType="Drop" dropLines="5" dropStyle="combo" dx="16" fmlaLink="recueil!$I$18" fmlaRange="listes!$L$32:$L$36" sel="0" val="0"/>
</file>

<file path=xl/ctrlProps/ctrlProp123.xml><?xml version="1.0" encoding="utf-8"?>
<formControlPr xmlns="http://schemas.microsoft.com/office/spreadsheetml/2009/9/main" objectType="Drop" dropLines="5" dropStyle="combo" dx="16" fmlaLink="recueil!$I$19" fmlaRange="listes!$L$32:$L$36" sel="0" val="0"/>
</file>

<file path=xl/ctrlProps/ctrlProp124.xml><?xml version="1.0" encoding="utf-8"?>
<formControlPr xmlns="http://schemas.microsoft.com/office/spreadsheetml/2009/9/main" objectType="Drop" dropLines="5" dropStyle="combo" dx="16" fmlaLink="recueil!$I$20" fmlaRange="listes!$L$32:$L$36" sel="0" val="0"/>
</file>

<file path=xl/ctrlProps/ctrlProp125.xml><?xml version="1.0" encoding="utf-8"?>
<formControlPr xmlns="http://schemas.microsoft.com/office/spreadsheetml/2009/9/main" objectType="Drop" dropLines="5" dropStyle="combo" dx="16" fmlaLink="recueil!$I21" fmlaRange="listes!$L$32:$L$36" sel="0" val="0"/>
</file>

<file path=xl/ctrlProps/ctrlProp126.xml><?xml version="1.0" encoding="utf-8"?>
<formControlPr xmlns="http://schemas.microsoft.com/office/spreadsheetml/2009/9/main" objectType="Drop" dropLines="5" dropStyle="combo" dx="16" fmlaLink="recueil!$I22" fmlaRange="listes!$L$32:$L$36" sel="0" val="0"/>
</file>

<file path=xl/ctrlProps/ctrlProp127.xml><?xml version="1.0" encoding="utf-8"?>
<formControlPr xmlns="http://schemas.microsoft.com/office/spreadsheetml/2009/9/main" objectType="Drop" dropLines="5" dropStyle="combo" dx="16" fmlaLink="recueil!$I$23" fmlaRange="listes!$L$32:$L$36" sel="0" val="0"/>
</file>

<file path=xl/ctrlProps/ctrlProp128.xml><?xml version="1.0" encoding="utf-8"?>
<formControlPr xmlns="http://schemas.microsoft.com/office/spreadsheetml/2009/9/main" objectType="Drop" dropLines="5" dropStyle="combo" dx="16" fmlaLink="recueil!$I$24" fmlaRange="listes!$L$32:$L$36" sel="0" val="0"/>
</file>

<file path=xl/ctrlProps/ctrlProp129.xml><?xml version="1.0" encoding="utf-8"?>
<formControlPr xmlns="http://schemas.microsoft.com/office/spreadsheetml/2009/9/main" objectType="Drop" dropLines="5" dropStyle="combo" dx="16" fmlaLink="recueil!$I$25" fmlaRange="listes!$L$32:$L$36" sel="0" val="0"/>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Drop" dropLines="5" dropStyle="combo" dx="16" fmlaLink="recueil!$I$26" fmlaRange="listes!$L$32:$L$36" sel="0" val="0"/>
</file>

<file path=xl/ctrlProps/ctrlProp131.xml><?xml version="1.0" encoding="utf-8"?>
<formControlPr xmlns="http://schemas.microsoft.com/office/spreadsheetml/2009/9/main" objectType="Drop" dropLines="5" dropStyle="combo" dx="16" fmlaLink="recueil!$I$27" fmlaRange="listes!$L$32:$L$36" sel="0" val="0"/>
</file>

<file path=xl/ctrlProps/ctrlProp132.xml><?xml version="1.0" encoding="utf-8"?>
<formControlPr xmlns="http://schemas.microsoft.com/office/spreadsheetml/2009/9/main" objectType="Drop" dropLines="5" dropStyle="combo" dx="16" fmlaLink="recueil!$I$28" fmlaRange="listes!$L$32:$L$36" sel="0" val="0"/>
</file>

<file path=xl/ctrlProps/ctrlProp133.xml><?xml version="1.0" encoding="utf-8"?>
<formControlPr xmlns="http://schemas.microsoft.com/office/spreadsheetml/2009/9/main" objectType="Drop" dropLines="5" dropStyle="combo" dx="16" fmlaLink="recueil!$I$29" fmlaRange="listes!$L$32:$L$36" sel="0" val="0"/>
</file>

<file path=xl/ctrlProps/ctrlProp134.xml><?xml version="1.0" encoding="utf-8"?>
<formControlPr xmlns="http://schemas.microsoft.com/office/spreadsheetml/2009/9/main" objectType="Drop" dropLines="5" dropStyle="combo" dx="16" fmlaLink="recueil!$I$30" fmlaRange="listes!$L$32:$L$36" sel="0" val="0"/>
</file>

<file path=xl/ctrlProps/ctrlProp135.xml><?xml version="1.0" encoding="utf-8"?>
<formControlPr xmlns="http://schemas.microsoft.com/office/spreadsheetml/2009/9/main" objectType="Drop" dropLines="5" dropStyle="combo" dx="16" fmlaLink="recueil!$I$31" fmlaRange="listes!$L$32:$L$36" sel="0" val="0"/>
</file>

<file path=xl/ctrlProps/ctrlProp136.xml><?xml version="1.0" encoding="utf-8"?>
<formControlPr xmlns="http://schemas.microsoft.com/office/spreadsheetml/2009/9/main" objectType="Drop" dropLines="5" dropStyle="combo" dx="16" fmlaLink="recueil!$I$32" fmlaRange="listes!$L$32:$L$36" sel="0" val="0"/>
</file>

<file path=xl/ctrlProps/ctrlProp137.xml><?xml version="1.0" encoding="utf-8"?>
<formControlPr xmlns="http://schemas.microsoft.com/office/spreadsheetml/2009/9/main" objectType="Drop" dropLines="5" dropStyle="combo" dx="16" fmlaLink="recueil!$I$33" fmlaRange="listes!$L$32:$L$36" sel="0" val="0"/>
</file>

<file path=xl/ctrlProps/ctrlProp138.xml><?xml version="1.0" encoding="utf-8"?>
<formControlPr xmlns="http://schemas.microsoft.com/office/spreadsheetml/2009/9/main" objectType="Drop" dropLines="5" dropStyle="combo" dx="16" fmlaLink="recueil!$I$34" fmlaRange="listes!$L$32:$L$36" sel="0" val="0"/>
</file>

<file path=xl/ctrlProps/ctrlProp139.xml><?xml version="1.0" encoding="utf-8"?>
<formControlPr xmlns="http://schemas.microsoft.com/office/spreadsheetml/2009/9/main" objectType="Drop" dropLines="5" dropStyle="combo" dx="16" fmlaLink="recueil!$I$35" fmlaRange="listes!$L$32:$L$36" sel="0" val="0"/>
</file>

<file path=xl/ctrlProps/ctrlProp14.xml><?xml version="1.0" encoding="utf-8"?>
<formControlPr xmlns="http://schemas.microsoft.com/office/spreadsheetml/2009/9/main" objectType="Drop" dropLines="16" dropStyle="combo" dx="16" fmlaLink="recueil!$A$2" fmlaRange="listes!$P$3:$P$17" sel="1" val="0"/>
</file>

<file path=xl/ctrlProps/ctrlProp140.xml><?xml version="1.0" encoding="utf-8"?>
<formControlPr xmlns="http://schemas.microsoft.com/office/spreadsheetml/2009/9/main" objectType="Drop" dropLines="5" dropStyle="combo" dx="16" fmlaLink="recueil!$I$36" fmlaRange="listes!$L$32:$L$36" sel="0" val="0"/>
</file>

<file path=xl/ctrlProps/ctrlProp141.xml><?xml version="1.0" encoding="utf-8"?>
<formControlPr xmlns="http://schemas.microsoft.com/office/spreadsheetml/2009/9/main" objectType="Drop" dropLines="5" dropStyle="combo" dx="16" fmlaLink="recueil!$I$37" fmlaRange="listes!$L$32:$L$36" sel="0" val="0"/>
</file>

<file path=xl/ctrlProps/ctrlProp142.xml><?xml version="1.0" encoding="utf-8"?>
<formControlPr xmlns="http://schemas.microsoft.com/office/spreadsheetml/2009/9/main" objectType="Drop" dropLines="5" dropStyle="combo" dx="16" fmlaLink="recueil!$I$38" fmlaRange="listes!$L$32:$L$36" sel="0" val="0"/>
</file>

<file path=xl/ctrlProps/ctrlProp143.xml><?xml version="1.0" encoding="utf-8"?>
<formControlPr xmlns="http://schemas.microsoft.com/office/spreadsheetml/2009/9/main" objectType="Drop" dropLines="5" dropStyle="combo" dx="16" fmlaLink="recueil!$I$39" fmlaRange="listes!$L$32:$L$36" sel="0" val="0"/>
</file>

<file path=xl/ctrlProps/ctrlProp144.xml><?xml version="1.0" encoding="utf-8"?>
<formControlPr xmlns="http://schemas.microsoft.com/office/spreadsheetml/2009/9/main" objectType="Drop" dropLines="5" dropStyle="combo" dx="16" fmlaLink="recueil!$I$40" fmlaRange="listes!$L$32:$L$36" sel="0" val="0"/>
</file>

<file path=xl/ctrlProps/ctrlProp145.xml><?xml version="1.0" encoding="utf-8"?>
<formControlPr xmlns="http://schemas.microsoft.com/office/spreadsheetml/2009/9/main" objectType="Drop" dropLines="5" dropStyle="combo" dx="16" fmlaLink="recueil!$I$41" fmlaRange="listes!$L$32:$L$36" sel="0" val="0"/>
</file>

<file path=xl/ctrlProps/ctrlProp146.xml><?xml version="1.0" encoding="utf-8"?>
<formControlPr xmlns="http://schemas.microsoft.com/office/spreadsheetml/2009/9/main" objectType="Drop" dropLines="5" dropStyle="combo" dx="16" fmlaLink="recueil!$I$42" fmlaRange="listes!$L$32:$L$36" sel="0" val="0"/>
</file>

<file path=xl/ctrlProps/ctrlProp147.xml><?xml version="1.0" encoding="utf-8"?>
<formControlPr xmlns="http://schemas.microsoft.com/office/spreadsheetml/2009/9/main" objectType="Drop" dropLines="5" dropStyle="combo" dx="16" fmlaLink="recueil!$I$43" fmlaRange="listes!$L$32:$L$36" sel="0" val="0"/>
</file>

<file path=xl/ctrlProps/ctrlProp148.xml><?xml version="1.0" encoding="utf-8"?>
<formControlPr xmlns="http://schemas.microsoft.com/office/spreadsheetml/2009/9/main" objectType="Drop" dropLines="5" dropStyle="combo" dx="16" fmlaLink="recueil!$I$44" fmlaRange="listes!$L$32:$L$36" sel="0" val="0"/>
</file>

<file path=xl/ctrlProps/ctrlProp149.xml><?xml version="1.0" encoding="utf-8"?>
<formControlPr xmlns="http://schemas.microsoft.com/office/spreadsheetml/2009/9/main" objectType="Drop" dropLines="5" dropStyle="combo" dx="16" fmlaLink="recueil!$I$45" fmlaRange="listes!$L$32:$L$36" sel="0" val="0"/>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Drop" dropLines="5" dropStyle="combo" dx="16" fmlaLink="recueil!$I$46" fmlaRange="listes!$L$32:$L$36" sel="0" val="0"/>
</file>

<file path=xl/ctrlProps/ctrlProp151.xml><?xml version="1.0" encoding="utf-8"?>
<formControlPr xmlns="http://schemas.microsoft.com/office/spreadsheetml/2009/9/main" objectType="Drop" dropLines="5" dropStyle="combo" dx="16" fmlaLink="recueil!$I$47" fmlaRange="listes!$L$32:$L$36" sel="0" val="0"/>
</file>

<file path=xl/ctrlProps/ctrlProp152.xml><?xml version="1.0" encoding="utf-8"?>
<formControlPr xmlns="http://schemas.microsoft.com/office/spreadsheetml/2009/9/main" objectType="Drop" dropLines="5" dropStyle="combo" dx="16" fmlaLink="recueil!$I$48" fmlaRange="listes!$L$32:$L$36" sel="0" val="0"/>
</file>

<file path=xl/ctrlProps/ctrlProp153.xml><?xml version="1.0" encoding="utf-8"?>
<formControlPr xmlns="http://schemas.microsoft.com/office/spreadsheetml/2009/9/main" objectType="Drop" dropLines="5" dropStyle="combo" dx="16" fmlaLink="recueil!$I$49" fmlaRange="listes!$L$32:$L$36" sel="0" val="0"/>
</file>

<file path=xl/ctrlProps/ctrlProp154.xml><?xml version="1.0" encoding="utf-8"?>
<formControlPr xmlns="http://schemas.microsoft.com/office/spreadsheetml/2009/9/main" objectType="Drop" dropLines="5" dropStyle="combo" dx="16" fmlaLink="recueil!$I$50" fmlaRange="listes!$L$32:$L$36" sel="0" val="0"/>
</file>

<file path=xl/ctrlProps/ctrlProp155.xml><?xml version="1.0" encoding="utf-8"?>
<formControlPr xmlns="http://schemas.microsoft.com/office/spreadsheetml/2009/9/main" objectType="Drop" dropLines="5" dropStyle="combo" dx="16" fmlaLink="recueil!$I$51" fmlaRange="listes!$L$32:$L$36" sel="0" val="0"/>
</file>

<file path=xl/ctrlProps/ctrlProp156.xml><?xml version="1.0" encoding="utf-8"?>
<formControlPr xmlns="http://schemas.microsoft.com/office/spreadsheetml/2009/9/main" objectType="Drop" dropLines="5" dropStyle="combo" dx="16" fmlaLink="recueil!$I$52" fmlaRange="listes!$L$32:$L$36" sel="0" val="0"/>
</file>

<file path=xl/ctrlProps/ctrlProp157.xml><?xml version="1.0" encoding="utf-8"?>
<formControlPr xmlns="http://schemas.microsoft.com/office/spreadsheetml/2009/9/main" objectType="Drop" dropLines="5" dropStyle="combo" dx="16" fmlaLink="recueil!$I$53" fmlaRange="listes!$L$32:$L$36" sel="0" val="0"/>
</file>

<file path=xl/ctrlProps/ctrlProp158.xml><?xml version="1.0" encoding="utf-8"?>
<formControlPr xmlns="http://schemas.microsoft.com/office/spreadsheetml/2009/9/main" objectType="Drop" dropLines="5" dropStyle="combo" dx="16" fmlaLink="recueil!$I$54" fmlaRange="listes!$L$32:$L$36" sel="0" val="0"/>
</file>

<file path=xl/ctrlProps/ctrlProp159.xml><?xml version="1.0" encoding="utf-8"?>
<formControlPr xmlns="http://schemas.microsoft.com/office/spreadsheetml/2009/9/main" objectType="Drop" dropLines="5" dropStyle="combo" dx="16" fmlaLink="recueil!$I$55" fmlaRange="listes!$L$32:$L$36" sel="0" val="0"/>
</file>

<file path=xl/ctrlProps/ctrlProp16.xml><?xml version="1.0" encoding="utf-8"?>
<formControlPr xmlns="http://schemas.microsoft.com/office/spreadsheetml/2009/9/main" objectType="Drop" dropStyle="combo" dx="16" fmlaLink="recueil!$F$2" fmlaRange="listes!$B$11:$B$17" sel="0" val="0"/>
</file>

<file path=xl/ctrlProps/ctrlProp160.xml><?xml version="1.0" encoding="utf-8"?>
<formControlPr xmlns="http://schemas.microsoft.com/office/spreadsheetml/2009/9/main" objectType="Drop" dropLines="5" dropStyle="combo" dx="16" fmlaLink="recueil!$I$56" fmlaRange="listes!$L$32:$L$36" sel="0" val="0"/>
</file>

<file path=xl/ctrlProps/ctrlProp161.xml><?xml version="1.0" encoding="utf-8"?>
<formControlPr xmlns="http://schemas.microsoft.com/office/spreadsheetml/2009/9/main" objectType="Drop" dropLines="5" dropStyle="combo" dx="16" fmlaLink="recueil!$I$57" fmlaRange="listes!$L$32:$L$36" sel="0" val="0"/>
</file>

<file path=xl/ctrlProps/ctrlProp162.xml><?xml version="1.0" encoding="utf-8"?>
<formControlPr xmlns="http://schemas.microsoft.com/office/spreadsheetml/2009/9/main" objectType="Drop" dropLines="5" dropStyle="combo" dx="16" fmlaLink="recueil!$I$58" fmlaRange="listes!$L$32:$L$36" sel="0" val="0"/>
</file>

<file path=xl/ctrlProps/ctrlProp163.xml><?xml version="1.0" encoding="utf-8"?>
<formControlPr xmlns="http://schemas.microsoft.com/office/spreadsheetml/2009/9/main" objectType="Drop" dropLines="5" dropStyle="combo" dx="16" fmlaLink="recueil!$I$59" fmlaRange="listes!$L$32:$L$36" sel="0" val="0"/>
</file>

<file path=xl/ctrlProps/ctrlProp164.xml><?xml version="1.0" encoding="utf-8"?>
<formControlPr xmlns="http://schemas.microsoft.com/office/spreadsheetml/2009/9/main" objectType="Drop" dropLines="5" dropStyle="combo" dx="16" fmlaLink="recueil!$I$60" fmlaRange="listes!$L$32:$L$36" sel="0" val="0"/>
</file>

<file path=xl/ctrlProps/ctrlProp165.xml><?xml version="1.0" encoding="utf-8"?>
<formControlPr xmlns="http://schemas.microsoft.com/office/spreadsheetml/2009/9/main" objectType="Drop" dropLines="5" dropStyle="combo" dx="16" fmlaLink="recueil!$I$61" fmlaRange="listes!$L$32:$L$36" sel="0" val="0"/>
</file>

<file path=xl/ctrlProps/ctrlProp166.xml><?xml version="1.0" encoding="utf-8"?>
<formControlPr xmlns="http://schemas.microsoft.com/office/spreadsheetml/2009/9/main" objectType="Drop" dropLines="5" dropStyle="combo" dx="16" fmlaLink="recueil!$I$62" fmlaRange="listes!$L$32:$L$36" sel="0" val="0"/>
</file>

<file path=xl/ctrlProps/ctrlProp167.xml><?xml version="1.0" encoding="utf-8"?>
<formControlPr xmlns="http://schemas.microsoft.com/office/spreadsheetml/2009/9/main" objectType="Drop" dropLines="5" dropStyle="combo" dx="16" fmlaLink="recueil!$I$63" fmlaRange="listes!$L$32:$L$36" sel="0" val="0"/>
</file>

<file path=xl/ctrlProps/ctrlProp168.xml><?xml version="1.0" encoding="utf-8"?>
<formControlPr xmlns="http://schemas.microsoft.com/office/spreadsheetml/2009/9/main" objectType="Drop" dropLines="5" dropStyle="combo" dx="16" fmlaLink="recueil!$I$64" fmlaRange="listes!$L$32:$L$36" sel="0" val="0"/>
</file>

<file path=xl/ctrlProps/ctrlProp169.xml><?xml version="1.0" encoding="utf-8"?>
<formControlPr xmlns="http://schemas.microsoft.com/office/spreadsheetml/2009/9/main" objectType="Drop" dropLines="5" dropStyle="combo" dx="16" fmlaLink="recueil!$I$65" fmlaRange="listes!$L$32:$L$36" sel="0" val="0"/>
</file>

<file path=xl/ctrlProps/ctrlProp17.xml><?xml version="1.0" encoding="utf-8"?>
<formControlPr xmlns="http://schemas.microsoft.com/office/spreadsheetml/2009/9/main" objectType="Drop" dropLines="5" dropStyle="combo" dx="16" fmlaLink="recueil!$G$2" fmlaRange="listes!$D$11:$D$14" sel="0" val="0"/>
</file>

<file path=xl/ctrlProps/ctrlProp170.xml><?xml version="1.0" encoding="utf-8"?>
<formControlPr xmlns="http://schemas.microsoft.com/office/spreadsheetml/2009/9/main" objectType="Drop" dropLines="5" dropStyle="combo" dx="16" fmlaLink="recueil!$I$66" fmlaRange="listes!$L$32:$L$36" sel="0" val="0"/>
</file>

<file path=xl/ctrlProps/ctrlProp171.xml><?xml version="1.0" encoding="utf-8"?>
<formControlPr xmlns="http://schemas.microsoft.com/office/spreadsheetml/2009/9/main" objectType="Drop" dropLines="5" dropStyle="combo" dx="16" fmlaLink="recueil!$I$67" fmlaRange="listes!$L$32:$L$36" sel="0" val="0"/>
</file>

<file path=xl/ctrlProps/ctrlProp172.xml><?xml version="1.0" encoding="utf-8"?>
<formControlPr xmlns="http://schemas.microsoft.com/office/spreadsheetml/2009/9/main" objectType="Drop" dropLines="5" dropStyle="combo" dx="16" fmlaLink="recueil!$I$68" fmlaRange="listes!$L$32:$L$36" sel="0" val="0"/>
</file>

<file path=xl/ctrlProps/ctrlProp173.xml><?xml version="1.0" encoding="utf-8"?>
<formControlPr xmlns="http://schemas.microsoft.com/office/spreadsheetml/2009/9/main" objectType="Drop" dropLines="5" dropStyle="combo" dx="16" fmlaLink="recueil!$I$69" fmlaRange="listes!$L$32:$L$36" sel="0" val="0"/>
</file>

<file path=xl/ctrlProps/ctrlProp174.xml><?xml version="1.0" encoding="utf-8"?>
<formControlPr xmlns="http://schemas.microsoft.com/office/spreadsheetml/2009/9/main" objectType="Drop" dropLines="5" dropStyle="combo" dx="16" fmlaLink="recueil!$I$70" fmlaRange="listes!$L$32:$L$36" sel="0" val="0"/>
</file>

<file path=xl/ctrlProps/ctrlProp175.xml><?xml version="1.0" encoding="utf-8"?>
<formControlPr xmlns="http://schemas.microsoft.com/office/spreadsheetml/2009/9/main" objectType="Drop" dropLines="5" dropStyle="combo" dx="16" fmlaLink="recueil!$I$71" fmlaRange="listes!$L$32:$L$36" sel="0" val="0"/>
</file>

<file path=xl/ctrlProps/ctrlProp176.xml><?xml version="1.0" encoding="utf-8"?>
<formControlPr xmlns="http://schemas.microsoft.com/office/spreadsheetml/2009/9/main" objectType="Drop" dropLines="5" dropStyle="combo" dx="16" fmlaLink="recueil!$I$72" fmlaRange="listes!$L$32:$L$36" sel="0" val="0"/>
</file>

<file path=xl/ctrlProps/ctrlProp177.xml><?xml version="1.0" encoding="utf-8"?>
<formControlPr xmlns="http://schemas.microsoft.com/office/spreadsheetml/2009/9/main" objectType="Drop" dropLines="5" dropStyle="combo" dx="16" fmlaLink="recueil!$I$73" fmlaRange="listes!$L$32:$L$36" sel="0" val="0"/>
</file>

<file path=xl/ctrlProps/ctrlProp178.xml><?xml version="1.0" encoding="utf-8"?>
<formControlPr xmlns="http://schemas.microsoft.com/office/spreadsheetml/2009/9/main" objectType="Drop" dropLines="5" dropStyle="combo" dx="16" fmlaLink="recueil!$I$74" fmlaRange="listes!$L$32:$L$36" sel="0" val="0"/>
</file>

<file path=xl/ctrlProps/ctrlProp179.xml><?xml version="1.0" encoding="utf-8"?>
<formControlPr xmlns="http://schemas.microsoft.com/office/spreadsheetml/2009/9/main" objectType="Drop" dropLines="5" dropStyle="combo" dx="16" fmlaLink="recueil!$I$75" fmlaRange="listes!$L$32:$L$36" sel="0" val="0"/>
</file>

<file path=xl/ctrlProps/ctrlProp18.xml><?xml version="1.0" encoding="utf-8"?>
<formControlPr xmlns="http://schemas.microsoft.com/office/spreadsheetml/2009/9/main" objectType="Drop" dropLines="6" dropStyle="combo" dx="16" fmlaLink="recueil!$I$2" fmlaRange="listes!$F$11:$F$15" sel="0" val="0"/>
</file>

<file path=xl/ctrlProps/ctrlProp180.xml><?xml version="1.0" encoding="utf-8"?>
<formControlPr xmlns="http://schemas.microsoft.com/office/spreadsheetml/2009/9/main" objectType="Drop" dropLines="5" dropStyle="combo" dx="16" fmlaLink="recueil!$I$76" fmlaRange="listes!$L$32:$L$36" sel="0" val="0"/>
</file>

<file path=xl/ctrlProps/ctrlProp181.xml><?xml version="1.0" encoding="utf-8"?>
<formControlPr xmlns="http://schemas.microsoft.com/office/spreadsheetml/2009/9/main" objectType="Drop" dropLines="5" dropStyle="combo" dx="16" fmlaLink="recueil!$I$77" fmlaRange="listes!$L$32:$L$36" sel="0" val="0"/>
</file>

<file path=xl/ctrlProps/ctrlProp182.xml><?xml version="1.0" encoding="utf-8"?>
<formControlPr xmlns="http://schemas.microsoft.com/office/spreadsheetml/2009/9/main" objectType="Drop" dropLines="5" dropStyle="combo" dx="16" fmlaLink="recueil!$I$78" fmlaRange="listes!$L$32:$L$36" sel="0" val="0"/>
</file>

<file path=xl/ctrlProps/ctrlProp183.xml><?xml version="1.0" encoding="utf-8"?>
<formControlPr xmlns="http://schemas.microsoft.com/office/spreadsheetml/2009/9/main" objectType="Drop" dropLines="5" dropStyle="combo" dx="16" fmlaLink="recueil!$I$79" fmlaRange="listes!$L$32:$L$36" sel="0" val="0"/>
</file>

<file path=xl/ctrlProps/ctrlProp184.xml><?xml version="1.0" encoding="utf-8"?>
<formControlPr xmlns="http://schemas.microsoft.com/office/spreadsheetml/2009/9/main" objectType="Drop" dropLines="5" dropStyle="combo" dx="16" fmlaLink="recueil!$I$80" fmlaRange="listes!$L$32:$L$36" sel="0" val="0"/>
</file>

<file path=xl/ctrlProps/ctrlProp185.xml><?xml version="1.0" encoding="utf-8"?>
<formControlPr xmlns="http://schemas.microsoft.com/office/spreadsheetml/2009/9/main" objectType="Drop" dropLines="5" dropStyle="combo" dx="16" fmlaLink="recueil!$I$81" fmlaRange="listes!$L$32:$L$36" sel="0" val="0"/>
</file>

<file path=xl/ctrlProps/ctrlProp186.xml><?xml version="1.0" encoding="utf-8"?>
<formControlPr xmlns="http://schemas.microsoft.com/office/spreadsheetml/2009/9/main" objectType="Drop" dropLines="5" dropStyle="combo" dx="16" fmlaLink="recueil!$I$82" fmlaRange="listes!$L$32:$L$36" sel="0" val="0"/>
</file>

<file path=xl/ctrlProps/ctrlProp187.xml><?xml version="1.0" encoding="utf-8"?>
<formControlPr xmlns="http://schemas.microsoft.com/office/spreadsheetml/2009/9/main" objectType="Drop" dropLines="5" dropStyle="combo" dx="16" fmlaLink="recueil!$I$83" fmlaRange="listes!$L$32:$L$36" sel="0" val="0"/>
</file>

<file path=xl/ctrlProps/ctrlProp188.xml><?xml version="1.0" encoding="utf-8"?>
<formControlPr xmlns="http://schemas.microsoft.com/office/spreadsheetml/2009/9/main" objectType="Drop" dropLines="5" dropStyle="combo" dx="16" fmlaLink="recueil!$I$84" fmlaRange="listes!$L$32:$L$36" sel="0" val="0"/>
</file>

<file path=xl/ctrlProps/ctrlProp189.xml><?xml version="1.0" encoding="utf-8"?>
<formControlPr xmlns="http://schemas.microsoft.com/office/spreadsheetml/2009/9/main" objectType="Drop" dropLines="5" dropStyle="combo" dx="16" fmlaLink="recueil!$I$85" fmlaRange="listes!$L$32:$L$36" sel="0" val="0"/>
</file>

<file path=xl/ctrlProps/ctrlProp19.xml><?xml version="1.0" encoding="utf-8"?>
<formControlPr xmlns="http://schemas.microsoft.com/office/spreadsheetml/2009/9/main" objectType="Drop" dropLines="7" dropStyle="combo" dx="16" fmlaLink="recueil!$H$2" fmlaRange="listes!$B$20:$B$25" sel="0" val="0"/>
</file>

<file path=xl/ctrlProps/ctrlProp190.xml><?xml version="1.0" encoding="utf-8"?>
<formControlPr xmlns="http://schemas.microsoft.com/office/spreadsheetml/2009/9/main" objectType="Drop" dropLines="5" dropStyle="combo" dx="16" fmlaLink="recueil!$I$86" fmlaRange="listes!$L$32:$L$36" sel="0" val="0"/>
</file>

<file path=xl/ctrlProps/ctrlProp191.xml><?xml version="1.0" encoding="utf-8"?>
<formControlPr xmlns="http://schemas.microsoft.com/office/spreadsheetml/2009/9/main" objectType="Drop" dropLines="5" dropStyle="combo" dx="16" fmlaLink="recueil!$I$87" fmlaRange="listes!$L$32:$L$36" sel="0" val="0"/>
</file>

<file path=xl/ctrlProps/ctrlProp192.xml><?xml version="1.0" encoding="utf-8"?>
<formControlPr xmlns="http://schemas.microsoft.com/office/spreadsheetml/2009/9/main" objectType="Drop" dropLines="5" dropStyle="combo" dx="16" fmlaLink="recueil!$I$88" fmlaRange="listes!$L$32:$L$36" sel="0" val="0"/>
</file>

<file path=xl/ctrlProps/ctrlProp193.xml><?xml version="1.0" encoding="utf-8"?>
<formControlPr xmlns="http://schemas.microsoft.com/office/spreadsheetml/2009/9/main" objectType="Drop" dropLines="5" dropStyle="combo" dx="16" fmlaLink="recueil!$I$89" fmlaRange="listes!$L$32:$L$36" sel="0" val="0"/>
</file>

<file path=xl/ctrlProps/ctrlProp194.xml><?xml version="1.0" encoding="utf-8"?>
<formControlPr xmlns="http://schemas.microsoft.com/office/spreadsheetml/2009/9/main" objectType="Drop" dropLines="5" dropStyle="combo" dx="16" fmlaLink="recueil!$I$90" fmlaRange="listes!$L$32:$L$36" sel="0" val="0"/>
</file>

<file path=xl/ctrlProps/ctrlProp195.xml><?xml version="1.0" encoding="utf-8"?>
<formControlPr xmlns="http://schemas.microsoft.com/office/spreadsheetml/2009/9/main" objectType="Drop" dropLines="5" dropStyle="combo" dx="16" fmlaLink="recueil!$I$91" fmlaRange="listes!$L$32:$L$36" sel="0" val="0"/>
</file>

<file path=xl/ctrlProps/ctrlProp196.xml><?xml version="1.0" encoding="utf-8"?>
<formControlPr xmlns="http://schemas.microsoft.com/office/spreadsheetml/2009/9/main" objectType="Drop" dropLines="5" dropStyle="combo" dx="16" fmlaLink="recueil!$I$92" fmlaRange="listes!$L$32:$L$36" sel="0" val="0"/>
</file>

<file path=xl/ctrlProps/ctrlProp197.xml><?xml version="1.0" encoding="utf-8"?>
<formControlPr xmlns="http://schemas.microsoft.com/office/spreadsheetml/2009/9/main" objectType="Drop" dropLines="5" dropStyle="combo" dx="16" fmlaLink="recueil!$I$93" fmlaRange="listes!$L$32:$L$36" sel="0" val="0"/>
</file>

<file path=xl/ctrlProps/ctrlProp198.xml><?xml version="1.0" encoding="utf-8"?>
<formControlPr xmlns="http://schemas.microsoft.com/office/spreadsheetml/2009/9/main" objectType="Drop" dropLines="5" dropStyle="combo" dx="16" fmlaLink="recueil!$I$94" fmlaRange="listes!$L$32:$L$36" sel="0" val="0"/>
</file>

<file path=xl/ctrlProps/ctrlProp199.xml><?xml version="1.0" encoding="utf-8"?>
<formControlPr xmlns="http://schemas.microsoft.com/office/spreadsheetml/2009/9/main" objectType="Drop" dropLines="5" dropStyle="combo" dx="16" fmlaLink="recueil!$I$95" fmlaRange="listes!$L$32:$L$36" sel="0" val="0"/>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Drop" dropLines="10" dropStyle="combo" dx="16" fmlaLink="recueil!$J$2" fmlaRange="listes!$D$20:$D$28" sel="0" val="0"/>
</file>

<file path=xl/ctrlProps/ctrlProp200.xml><?xml version="1.0" encoding="utf-8"?>
<formControlPr xmlns="http://schemas.microsoft.com/office/spreadsheetml/2009/9/main" objectType="Drop" dropLines="5" dropStyle="combo" dx="16" fmlaLink="recueil!$I$96" fmlaRange="listes!$L$32:$L$36" sel="0" val="0"/>
</file>

<file path=xl/ctrlProps/ctrlProp201.xml><?xml version="1.0" encoding="utf-8"?>
<formControlPr xmlns="http://schemas.microsoft.com/office/spreadsheetml/2009/9/main" objectType="Drop" dropLines="5" dropStyle="combo" dx="16" fmlaLink="recueil!$I$97" fmlaRange="listes!$L$32:$L$36" sel="0" val="0"/>
</file>

<file path=xl/ctrlProps/ctrlProp202.xml><?xml version="1.0" encoding="utf-8"?>
<formControlPr xmlns="http://schemas.microsoft.com/office/spreadsheetml/2009/9/main" objectType="Drop" dropLines="6" dropStyle="combo" dx="16" fmlaLink="recueil!$I$98" fmlaRange="listes!$L$31:$L$36" sel="0" val="0"/>
</file>

<file path=xl/ctrlProps/ctrlProp203.xml><?xml version="1.0" encoding="utf-8"?>
<formControlPr xmlns="http://schemas.microsoft.com/office/spreadsheetml/2009/9/main" objectType="Drop" dropLines="6" dropStyle="combo" dx="16" fmlaLink="recueil!$I$99" fmlaRange="listes!$L$31:$L$36" sel="0" val="0"/>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Drop" dropLines="4" dropStyle="combo" dx="22" fmlaLink="$Z$11" fmlaRange="listes!$D$52:$D$55" sel="0" val="0"/>
</file>

<file path=xl/ctrlProps/ctrlProp207.xml><?xml version="1.0" encoding="utf-8"?>
<formControlPr xmlns="http://schemas.microsoft.com/office/spreadsheetml/2009/9/main" objectType="Drop" dropLines="4" dropStyle="combo" dx="22" fmlaLink="$Z$12" fmlaRange="listes!$D$52:$D$55" sel="0" val="0"/>
</file>

<file path=xl/ctrlProps/ctrlProp208.xml><?xml version="1.0" encoding="utf-8"?>
<formControlPr xmlns="http://schemas.microsoft.com/office/spreadsheetml/2009/9/main" objectType="Drop" dropLines="4" dropStyle="combo" dx="22" fmlaLink="$Z$13" fmlaRange="listes!$D$52:$D$55" sel="0" val="0"/>
</file>

<file path=xl/ctrlProps/ctrlProp209.xml><?xml version="1.0" encoding="utf-8"?>
<formControlPr xmlns="http://schemas.microsoft.com/office/spreadsheetml/2009/9/main" objectType="Drop" dropLines="4" dropStyle="combo" dx="22" fmlaLink="$Z$14" fmlaRange="listes!$D$52:$D$55" sel="0" val="0"/>
</file>

<file path=xl/ctrlProps/ctrlProp21.xml><?xml version="1.0" encoding="utf-8"?>
<formControlPr xmlns="http://schemas.microsoft.com/office/spreadsheetml/2009/9/main" objectType="Drop" dropLines="9" dropStyle="combo" dx="16" fmlaLink="recueil!$B$5" fmlaRange="listes!$B$27:$B$35" sel="0" val="0"/>
</file>

<file path=xl/ctrlProps/ctrlProp210.xml><?xml version="1.0" encoding="utf-8"?>
<formControlPr xmlns="http://schemas.microsoft.com/office/spreadsheetml/2009/9/main" objectType="Drop" dropLines="4" dropStyle="combo" dx="22" fmlaLink="$Z$15" fmlaRange="listes!$D$52:$D$55" sel="0" val="0"/>
</file>

<file path=xl/ctrlProps/ctrlProp211.xml><?xml version="1.0" encoding="utf-8"?>
<formControlPr xmlns="http://schemas.microsoft.com/office/spreadsheetml/2009/9/main" objectType="Drop" dropLines="4" dropStyle="combo" dx="22" fmlaLink="$Z$16" fmlaRange="listes!$D$52:$D$55" sel="0" val="0"/>
</file>

<file path=xl/ctrlProps/ctrlProp212.xml><?xml version="1.0" encoding="utf-8"?>
<formControlPr xmlns="http://schemas.microsoft.com/office/spreadsheetml/2009/9/main" objectType="Drop" dropLines="4" dropStyle="combo" dx="22" fmlaLink="$Z$17" fmlaRange="listes!$D$52:$D$55" sel="0" val="0"/>
</file>

<file path=xl/ctrlProps/ctrlProp213.xml><?xml version="1.0" encoding="utf-8"?>
<formControlPr xmlns="http://schemas.microsoft.com/office/spreadsheetml/2009/9/main" objectType="Drop" dropLines="4" dropStyle="combo" dx="22" fmlaLink="$Z$18" fmlaRange="listes!$D$52:$D$55" sel="0" val="0"/>
</file>

<file path=xl/ctrlProps/ctrlProp214.xml><?xml version="1.0" encoding="utf-8"?>
<formControlPr xmlns="http://schemas.microsoft.com/office/spreadsheetml/2009/9/main" objectType="Drop" dropLines="4" dropStyle="combo" dx="22" fmlaLink="$Z$19" fmlaRange="listes!$D$52:$D$55" sel="0" val="0"/>
</file>

<file path=xl/ctrlProps/ctrlProp215.xml><?xml version="1.0" encoding="utf-8"?>
<formControlPr xmlns="http://schemas.microsoft.com/office/spreadsheetml/2009/9/main" objectType="Drop" dropLines="4" dropStyle="combo" dx="22" fmlaLink="$Z$20" fmlaRange="listes!$D$52:$D$55" sel="0" val="0"/>
</file>

<file path=xl/ctrlProps/ctrlProp216.xml><?xml version="1.0" encoding="utf-8"?>
<formControlPr xmlns="http://schemas.microsoft.com/office/spreadsheetml/2009/9/main" objectType="Drop" dropLines="4" dropStyle="combo" dx="22" fmlaLink="$Z$21" fmlaRange="listes!$D$52:$D$55" sel="0" val="0"/>
</file>

<file path=xl/ctrlProps/ctrlProp217.xml><?xml version="1.0" encoding="utf-8"?>
<formControlPr xmlns="http://schemas.microsoft.com/office/spreadsheetml/2009/9/main" objectType="Drop" dropLines="4" dropStyle="combo" dx="22" fmlaLink="$Z$22" fmlaRange="listes!$D$52:$D$55" sel="0" val="0"/>
</file>

<file path=xl/ctrlProps/ctrlProp218.xml><?xml version="1.0" encoding="utf-8"?>
<formControlPr xmlns="http://schemas.microsoft.com/office/spreadsheetml/2009/9/main" objectType="Drop" dropLines="4" dropStyle="combo" dx="22" fmlaLink="$Z$23" fmlaRange="listes!$D$52:$D$55" sel="0" val="0"/>
</file>

<file path=xl/ctrlProps/ctrlProp219.xml><?xml version="1.0" encoding="utf-8"?>
<formControlPr xmlns="http://schemas.microsoft.com/office/spreadsheetml/2009/9/main" objectType="Drop" dropLines="4" dropStyle="combo" dx="22" fmlaLink="$Z$24" fmlaRange="listes!$D$52:$D$55" sel="0" val="0"/>
</file>

<file path=xl/ctrlProps/ctrlProp22.xml><?xml version="1.0" encoding="utf-8"?>
<formControlPr xmlns="http://schemas.microsoft.com/office/spreadsheetml/2009/9/main" objectType="Drop" dropLines="9" dropStyle="combo" dx="16" fmlaLink="recueil!$C$5" fmlaRange="listes!$B$27:$B$35" sel="0" val="0"/>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Spin" dx="16" fmlaLink="$A$20" inc="5" max="150" min="25" page="10" val="40"/>
</file>

<file path=xl/ctrlProps/ctrlProp228.xml><?xml version="1.0" encoding="utf-8"?>
<formControlPr xmlns="http://schemas.microsoft.com/office/spreadsheetml/2009/9/main" objectType="Spin" dx="16" fmlaLink="$A$23" inc="5" max="150" min="55" page="10" val="96"/>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Drop" dropLines="9" dropStyle="combo" dx="16" fmlaLink="recueil!$D$5" fmlaRange="listes!$B$27:$B$35" sel="0" val="0"/>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Drop" dropLines="13" dropStyle="combo" dx="16" fmlaLink="recueil!$A$5" fmlaRange="listes!$F$20:$F$32" sel="0" val="0"/>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Drop" dropLines="7" dropStyle="combo" dx="16" fmlaLink="recueil!$A$8" fmlaRange="listes!$C$1:$C$6" sel="0" val="0"/>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Drop" dropLines="31" dropStyle="combo" dx="16" fmlaLink="recueil!$C$8" fmlaRange="listes!$H$2:$H$31" sel="0" val="0"/>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Scroll" dx="16" fmlaLink="recueil!$L$3" horiz="1" max="310" min="140" page="10" val="140"/>
</file>

<file path=xl/ctrlProps/ctrlProp263.xml><?xml version="1.0" encoding="utf-8"?>
<formControlPr xmlns="http://schemas.microsoft.com/office/spreadsheetml/2009/9/main" objectType="Scroll" dx="16" fmlaLink="recueil!$L$4" horiz="1" max="310" min="140" page="10" val="140"/>
</file>

<file path=xl/ctrlProps/ctrlProp264.xml><?xml version="1.0" encoding="utf-8"?>
<formControlPr xmlns="http://schemas.microsoft.com/office/spreadsheetml/2009/9/main" objectType="Scroll" dx="16" fmlaLink="recueil!$L$5" horiz="1" max="310" min="140" page="10" val="140"/>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Scroll" dx="16" fmlaLink="recueil!$L$3" horiz="1" max="310" min="140" page="10" val="140"/>
</file>

<file path=xl/ctrlProps/ctrlProp268.xml><?xml version="1.0" encoding="utf-8"?>
<formControlPr xmlns="http://schemas.microsoft.com/office/spreadsheetml/2009/9/main" objectType="Scroll" dx="16" fmlaLink="recueil!$L$4" horiz="1" max="310" min="140" page="10" val="140"/>
</file>

<file path=xl/ctrlProps/ctrlProp269.xml><?xml version="1.0" encoding="utf-8"?>
<formControlPr xmlns="http://schemas.microsoft.com/office/spreadsheetml/2009/9/main" objectType="Scroll" dx="16" fmlaLink="recueil!$L$5" horiz="1" max="310" min="140" page="10" val="140"/>
</file>

<file path=xl/ctrlProps/ctrlProp27.xml><?xml version="1.0" encoding="utf-8"?>
<formControlPr xmlns="http://schemas.microsoft.com/office/spreadsheetml/2009/9/main" objectType="Drop" dropLines="11" dropStyle="combo" dx="16" fmlaLink="recueil!$A$11" fmlaRange="listes!$D$30:$D$40" sel="0" val="0"/>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Scroll" dx="16" fmlaLink="recueil!$L$3" horiz="1" max="310" min="140" page="10" val="140"/>
</file>

<file path=xl/ctrlProps/ctrlProp273.xml><?xml version="1.0" encoding="utf-8"?>
<formControlPr xmlns="http://schemas.microsoft.com/office/spreadsheetml/2009/9/main" objectType="Scroll" dx="16" fmlaLink="recueil!$L$4" horiz="1" max="310" min="140" page="10" val="140"/>
</file>

<file path=xl/ctrlProps/ctrlProp274.xml><?xml version="1.0" encoding="utf-8"?>
<formControlPr xmlns="http://schemas.microsoft.com/office/spreadsheetml/2009/9/main" objectType="Scroll" dx="16" fmlaLink="recueil!$L$5" horiz="1" max="310" min="140" page="10" val="140"/>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Scroll" dx="16" fmlaLink="recueil!$L$3" horiz="1" max="310" min="140" page="10" val="140"/>
</file>

<file path=xl/ctrlProps/ctrlProp278.xml><?xml version="1.0" encoding="utf-8"?>
<formControlPr xmlns="http://schemas.microsoft.com/office/spreadsheetml/2009/9/main" objectType="Scroll" dx="16" fmlaLink="recueil!$L$4" horiz="1" max="310" min="140" page="10" val="140"/>
</file>

<file path=xl/ctrlProps/ctrlProp279.xml><?xml version="1.0" encoding="utf-8"?>
<formControlPr xmlns="http://schemas.microsoft.com/office/spreadsheetml/2009/9/main" objectType="Scroll" dx="16" fmlaLink="recueil!$L$5" horiz="1" max="310" min="140" page="10" val="140"/>
</file>

<file path=xl/ctrlProps/ctrlProp28.xml><?xml version="1.0" encoding="utf-8"?>
<formControlPr xmlns="http://schemas.microsoft.com/office/spreadsheetml/2009/9/main" objectType="Drop" dropLines="11" dropStyle="combo" dx="16" fmlaLink="recueil!$D$11" fmlaRange="listes!$D$30:$D$40" sel="0" val="0"/>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Drop" dropLines="51" dropStyle="combo" dx="16" fmlaLink="$C$4" fmlaRange="$G$4:$G$64" sel="1" val="0"/>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Radio" firstButton="1" fmlaLink="$K$4"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Radio" lockText="1"/>
</file>

<file path=xl/ctrlProps/ctrlProp289.xml><?xml version="1.0" encoding="utf-8"?>
<formControlPr xmlns="http://schemas.microsoft.com/office/spreadsheetml/2009/9/main" objectType="Radio" lockText="1"/>
</file>

<file path=xl/ctrlProps/ctrlProp29.xml><?xml version="1.0" encoding="utf-8"?>
<formControlPr xmlns="http://schemas.microsoft.com/office/spreadsheetml/2009/9/main" objectType="Drop" dropLines="11" dropStyle="combo" dx="16" fmlaLink="recueil!$G$11" fmlaRange="listes!$D$30:$D$40" sel="0" val="0"/>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K$5" lockText="1"/>
</file>

<file path=xl/ctrlProps/ctrlProp293.xml><?xml version="1.0" encoding="utf-8"?>
<formControlPr xmlns="http://schemas.microsoft.com/office/spreadsheetml/2009/9/main" objectType="Radio"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Radio" lockText="1"/>
</file>

<file path=xl/ctrlProps/ctrlProp297.xml><?xml version="1.0" encoding="utf-8"?>
<formControlPr xmlns="http://schemas.microsoft.com/office/spreadsheetml/2009/9/main" objectType="Radio" lockText="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Radio" firstButton="1" fmlaLink="$K$6"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Drop" dropLines="4" dropStyle="combo" dx="16" fmlaLink="recueil!$B$11" fmlaRange="listes!$G$30:$G$33" sel="0" val="0"/>
</file>

<file path=xl/ctrlProps/ctrlProp300.xml><?xml version="1.0" encoding="utf-8"?>
<formControlPr xmlns="http://schemas.microsoft.com/office/spreadsheetml/2009/9/main" objectType="Radio" lockText="1"/>
</file>

<file path=xl/ctrlProps/ctrlProp301.xml><?xml version="1.0" encoding="utf-8"?>
<formControlPr xmlns="http://schemas.microsoft.com/office/spreadsheetml/2009/9/main" objectType="Radio"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Radio" lockText="1"/>
</file>

<file path=xl/ctrlProps/ctrlProp305.xml><?xml version="1.0" encoding="utf-8"?>
<formControlPr xmlns="http://schemas.microsoft.com/office/spreadsheetml/2009/9/main" objectType="Radio" firstButton="1" fmlaLink="$K$7"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Radio" lockText="1"/>
</file>

<file path=xl/ctrlProps/ctrlProp309.xml><?xml version="1.0" encoding="utf-8"?>
<formControlPr xmlns="http://schemas.microsoft.com/office/spreadsheetml/2009/9/main" objectType="Radio" lockText="1"/>
</file>

<file path=xl/ctrlProps/ctrlProp31.xml><?xml version="1.0" encoding="utf-8"?>
<formControlPr xmlns="http://schemas.microsoft.com/office/spreadsheetml/2009/9/main" objectType="Drop" dropLines="4" dropStyle="combo" dx="16" fmlaLink="recueil!$E$11" fmlaRange="listes!$G$30:$G$33" sel="0" val="0"/>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firstButton="1" fmlaLink="$K$8" lockText="1"/>
</file>

<file path=xl/ctrlProps/ctrlProp312.xml><?xml version="1.0" encoding="utf-8"?>
<formControlPr xmlns="http://schemas.microsoft.com/office/spreadsheetml/2009/9/main" objectType="Radio" lockText="1"/>
</file>

<file path=xl/ctrlProps/ctrlProp313.xml><?xml version="1.0" encoding="utf-8"?>
<formControlPr xmlns="http://schemas.microsoft.com/office/spreadsheetml/2009/9/main" objectType="Radio"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Radio" lockText="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Radio" firstButton="1" fmlaLink="$K$9"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Drop" dropLines="4" dropStyle="combo" dx="16" fmlaLink="recueil!$H$11" fmlaRange="listes!$G$30:$G$33" sel="0" val="0"/>
</file>

<file path=xl/ctrlProps/ctrlProp320.xml><?xml version="1.0" encoding="utf-8"?>
<formControlPr xmlns="http://schemas.microsoft.com/office/spreadsheetml/2009/9/main" objectType="Radio" lockText="1"/>
</file>

<file path=xl/ctrlProps/ctrlProp321.xml><?xml version="1.0" encoding="utf-8"?>
<formControlPr xmlns="http://schemas.microsoft.com/office/spreadsheetml/2009/9/main" objectType="Radio"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fmlaLink="$K$10"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Radio" lockText="1"/>
</file>

<file path=xl/ctrlProps/ctrlProp329.xml><?xml version="1.0" encoding="utf-8"?>
<formControlPr xmlns="http://schemas.microsoft.com/office/spreadsheetml/2009/9/main" objectType="Radio" lockText="1"/>
</file>

<file path=xl/ctrlProps/ctrlProp33.xml><?xml version="1.0" encoding="utf-8"?>
<formControlPr xmlns="http://schemas.microsoft.com/office/spreadsheetml/2009/9/main" objectType="Drop" dropLines="31" dropStyle="combo" dx="16" fmlaLink="recueil!$C$11" fmlaRange="listes!$H$2:$H$31" sel="0" val="0"/>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Radio" firstButton="1" fmlaLink="$K$11" lockText="1"/>
</file>

<file path=xl/ctrlProps/ctrlProp333.xml><?xml version="1.0" encoding="utf-8"?>
<formControlPr xmlns="http://schemas.microsoft.com/office/spreadsheetml/2009/9/main" objectType="Radio"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Radio" lockText="1"/>
</file>

<file path=xl/ctrlProps/ctrlProp337.xml><?xml version="1.0" encoding="utf-8"?>
<formControlPr xmlns="http://schemas.microsoft.com/office/spreadsheetml/2009/9/main" objectType="Radio" lockText="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firstButton="1" fmlaLink="$K$12" lockText="1"/>
</file>

<file path=xl/ctrlProps/ctrlProp34.xml><?xml version="1.0" encoding="utf-8"?>
<formControlPr xmlns="http://schemas.microsoft.com/office/spreadsheetml/2009/9/main" objectType="Drop" dropLines="31" dropStyle="combo" dx="16" fmlaLink="recueil!$F$11" fmlaRange="listes!$H$2:$H$31" sel="0" val="0"/>
</file>

<file path=xl/ctrlProps/ctrlProp340.xml><?xml version="1.0" encoding="utf-8"?>
<formControlPr xmlns="http://schemas.microsoft.com/office/spreadsheetml/2009/9/main" objectType="Radio" lockText="1"/>
</file>

<file path=xl/ctrlProps/ctrlProp341.xml><?xml version="1.0" encoding="utf-8"?>
<formControlPr xmlns="http://schemas.microsoft.com/office/spreadsheetml/2009/9/main" objectType="Radio"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Radio" lockText="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fmlaLink="$K$13"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Radio" lockText="1"/>
</file>

<file path=xl/ctrlProps/ctrlProp349.xml><?xml version="1.0" encoding="utf-8"?>
<formControlPr xmlns="http://schemas.microsoft.com/office/spreadsheetml/2009/9/main" objectType="Radio" lockText="1"/>
</file>

<file path=xl/ctrlProps/ctrlProp35.xml><?xml version="1.0" encoding="utf-8"?>
<formControlPr xmlns="http://schemas.microsoft.com/office/spreadsheetml/2009/9/main" objectType="Drop" dropLines="31" dropStyle="combo" dx="16" fmlaLink="recueil!$I$11" fmlaRange="listes!$H$2:$H$31" sel="0" val="0"/>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fmlaLink="$K$14"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Radio" lockText="1"/>
</file>

<file path=xl/ctrlProps/ctrlProp357.xml><?xml version="1.0" encoding="utf-8"?>
<formControlPr xmlns="http://schemas.microsoft.com/office/spreadsheetml/2009/9/main" objectType="Radio"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Drop" dropLines="11" dropStyle="combo" dx="16" fmlaLink="recueil!$A$14" fmlaRange="listes!$D$30:$D$40" sel="0" val="0"/>
</file>

<file path=xl/ctrlProps/ctrlProp360.xml><?xml version="1.0" encoding="utf-8"?>
<formControlPr xmlns="http://schemas.microsoft.com/office/spreadsheetml/2009/9/main" objectType="Radio" firstButton="1" fmlaLink="$K$15" lockText="1"/>
</file>

<file path=xl/ctrlProps/ctrlProp361.xml><?xml version="1.0" encoding="utf-8"?>
<formControlPr xmlns="http://schemas.microsoft.com/office/spreadsheetml/2009/9/main" objectType="Radio"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Radio" lockText="1"/>
</file>

<file path=xl/ctrlProps/ctrlProp365.xml><?xml version="1.0" encoding="utf-8"?>
<formControlPr xmlns="http://schemas.microsoft.com/office/spreadsheetml/2009/9/main" objectType="Radio" lockText="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K$16" lockText="1"/>
</file>

<file path=xl/ctrlProps/ctrlProp368.xml><?xml version="1.0" encoding="utf-8"?>
<formControlPr xmlns="http://schemas.microsoft.com/office/spreadsheetml/2009/9/main" objectType="Radio" lockText="1"/>
</file>

<file path=xl/ctrlProps/ctrlProp369.xml><?xml version="1.0" encoding="utf-8"?>
<formControlPr xmlns="http://schemas.microsoft.com/office/spreadsheetml/2009/9/main" objectType="Radio" lockText="1"/>
</file>

<file path=xl/ctrlProps/ctrlProp37.xml><?xml version="1.0" encoding="utf-8"?>
<formControlPr xmlns="http://schemas.microsoft.com/office/spreadsheetml/2009/9/main" objectType="Drop" dropLines="4" dropStyle="combo" dx="16" fmlaLink="recueil!$C$14" fmlaRange="listes!$G$30:$G$33" sel="0" val="0"/>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Radio" lockText="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Radio" firstButton="1" fmlaLink="$K$17"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Radio" lockText="1"/>
</file>

<file path=xl/ctrlProps/ctrlProp377.xml><?xml version="1.0" encoding="utf-8"?>
<formControlPr xmlns="http://schemas.microsoft.com/office/spreadsheetml/2009/9/main" objectType="Radio"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Drop" dropLines="31" dropStyle="combo" dx="16" fmlaLink="recueil!$D$14" fmlaRange="listes!$H$2:$H$31" sel="0" val="0"/>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fmlaLink="$K$18"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Radio" lockText="1"/>
</file>

<file path=xl/ctrlProps/ctrlProp385.xml><?xml version="1.0" encoding="utf-8"?>
<formControlPr xmlns="http://schemas.microsoft.com/office/spreadsheetml/2009/9/main" objectType="Radio"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K$19" lockText="1"/>
</file>

<file path=xl/ctrlProps/ctrlProp389.xml><?xml version="1.0" encoding="utf-8"?>
<formControlPr xmlns="http://schemas.microsoft.com/office/spreadsheetml/2009/9/main" objectType="Radio" lockText="1"/>
</file>

<file path=xl/ctrlProps/ctrlProp39.xml><?xml version="1.0" encoding="utf-8"?>
<formControlPr xmlns="http://schemas.microsoft.com/office/spreadsheetml/2009/9/main" objectType="Spin" dx="16" fmlaLink="$E$8" max="10" page="10" val="0"/>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Radio" lockText="1"/>
</file>

<file path=xl/ctrlProps/ctrlProp393.xml><?xml version="1.0" encoding="utf-8"?>
<formControlPr xmlns="http://schemas.microsoft.com/office/spreadsheetml/2009/9/main" objectType="Radio" lockText="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fmlaLink="$K$20" lockText="1"/>
</file>

<file path=xl/ctrlProps/ctrlProp396.xml><?xml version="1.0" encoding="utf-8"?>
<formControlPr xmlns="http://schemas.microsoft.com/office/spreadsheetml/2009/9/main" objectType="Radio" lockText="1"/>
</file>

<file path=xl/ctrlProps/ctrlProp397.xml><?xml version="1.0" encoding="utf-8"?>
<formControlPr xmlns="http://schemas.microsoft.com/office/spreadsheetml/2009/9/main" objectType="Radio"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Spin" dx="16" fmlaLink="$F$8" max="10" page="10" val="0"/>
</file>

<file path=xl/ctrlProps/ctrlProp400.xml><?xml version="1.0" encoding="utf-8"?>
<formControlPr xmlns="http://schemas.microsoft.com/office/spreadsheetml/2009/9/main" objectType="Radio" lockText="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fmlaLink="$K$21"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Radio" lockText="1"/>
</file>

<file path=xl/ctrlProps/ctrlProp405.xml><?xml version="1.0" encoding="utf-8"?>
<formControlPr xmlns="http://schemas.microsoft.com/office/spreadsheetml/2009/9/main" objectType="Radio"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fmlaLink="$K$22"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Radio" lockText="1"/>
</file>

<file path=xl/ctrlProps/ctrlProp413.xml><?xml version="1.0" encoding="utf-8"?>
<formControlPr xmlns="http://schemas.microsoft.com/office/spreadsheetml/2009/9/main" objectType="Radio"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fmlaLink="$K$23" lockText="1"/>
</file>

<file path=xl/ctrlProps/ctrlProp417.xml><?xml version="1.0" encoding="utf-8"?>
<formControlPr xmlns="http://schemas.microsoft.com/office/spreadsheetml/2009/9/main" objectType="Radio"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Radio" lockText="1"/>
</file>

<file path=xl/ctrlProps/ctrlProp421.xml><?xml version="1.0" encoding="utf-8"?>
<formControlPr xmlns="http://schemas.microsoft.com/office/spreadsheetml/2009/9/main" objectType="Radio" lockText="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Radio" firstButton="1" fmlaLink="$K$24" lockText="1"/>
</file>

<file path=xl/ctrlProps/ctrlProp424.xml><?xml version="1.0" encoding="utf-8"?>
<formControlPr xmlns="http://schemas.microsoft.com/office/spreadsheetml/2009/9/main" objectType="Radio" lockText="1"/>
</file>

<file path=xl/ctrlProps/ctrlProp425.xml><?xml version="1.0" encoding="utf-8"?>
<formControlPr xmlns="http://schemas.microsoft.com/office/spreadsheetml/2009/9/main" objectType="Radio" lockText="1"/>
</file>

<file path=xl/ctrlProps/ctrlProp426.xml><?xml version="1.0" encoding="utf-8"?>
<formControlPr xmlns="http://schemas.microsoft.com/office/spreadsheetml/2009/9/main" objectType="Radio" lockText="1"/>
</file>

<file path=xl/ctrlProps/ctrlProp427.xml><?xml version="1.0" encoding="utf-8"?>
<formControlPr xmlns="http://schemas.microsoft.com/office/spreadsheetml/2009/9/main" objectType="Radio" lockText="1"/>
</file>

<file path=xl/ctrlProps/ctrlProp428.xml><?xml version="1.0" encoding="utf-8"?>
<formControlPr xmlns="http://schemas.microsoft.com/office/spreadsheetml/2009/9/main" objectType="Radio" lockText="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Drop" dropStyle="combo" dx="16" fmlaLink="Genogramme!$V$4" fmlaRange="listes!$M$18:$M$23" sel="1" val="0"/>
</file>

<file path=xl/ctrlProps/ctrlProp430.xml><?xml version="1.0" encoding="utf-8"?>
<formControlPr xmlns="http://schemas.microsoft.com/office/spreadsheetml/2009/9/main" objectType="Radio" firstButton="1" fmlaLink="$K$25" lockText="1"/>
</file>

<file path=xl/ctrlProps/ctrlProp431.xml><?xml version="1.0" encoding="utf-8"?>
<formControlPr xmlns="http://schemas.microsoft.com/office/spreadsheetml/2009/9/main" objectType="Radio" lockText="1"/>
</file>

<file path=xl/ctrlProps/ctrlProp432.xml><?xml version="1.0" encoding="utf-8"?>
<formControlPr xmlns="http://schemas.microsoft.com/office/spreadsheetml/2009/9/main" objectType="Radio" lockText="1"/>
</file>

<file path=xl/ctrlProps/ctrlProp433.xml><?xml version="1.0" encoding="utf-8"?>
<formControlPr xmlns="http://schemas.microsoft.com/office/spreadsheetml/2009/9/main" objectType="Radio"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Drop" dropLines="58" dropStyle="combo" dx="16" fmlaLink="$N$4" fmlaRange="listes!$H$2:$H$7" sel="0" val="0"/>
</file>

<file path=xl/ctrlProps/ctrlProp438.xml><?xml version="1.0" encoding="utf-8"?>
<formControlPr xmlns="http://schemas.microsoft.com/office/spreadsheetml/2009/9/main" objectType="Drop" dropLines="58" dropStyle="combo" dx="16" fmlaLink="$N5" fmlaRange="listes!$H$2:$H$7" sel="0" val="0"/>
</file>

<file path=xl/ctrlProps/ctrlProp439.xml><?xml version="1.0" encoding="utf-8"?>
<formControlPr xmlns="http://schemas.microsoft.com/office/spreadsheetml/2009/9/main" objectType="Drop" dropLines="6" dropStyle="combo" dx="16" fmlaLink="N6" fmlaRange="listes!$H$2:$H$7" sel="0" val="0"/>
</file>

<file path=xl/ctrlProps/ctrlProp44.xml><?xml version="1.0" encoding="utf-8"?>
<formControlPr xmlns="http://schemas.microsoft.com/office/spreadsheetml/2009/9/main" objectType="Drop" dropStyle="combo" dx="16" fmlaLink="Genogramme!$U$25" fmlaRange="listes!$M$18:$M$23" sel="1" val="0"/>
</file>

<file path=xl/ctrlProps/ctrlProp440.xml><?xml version="1.0" encoding="utf-8"?>
<formControlPr xmlns="http://schemas.microsoft.com/office/spreadsheetml/2009/9/main" objectType="Drop" dropLines="6" dropStyle="combo" dx="16" fmlaLink="$N$7" fmlaRange="listes!$H$2:$H$7" sel="0" val="0"/>
</file>

<file path=xl/ctrlProps/ctrlProp441.xml><?xml version="1.0" encoding="utf-8"?>
<formControlPr xmlns="http://schemas.microsoft.com/office/spreadsheetml/2009/9/main" objectType="Drop" dropLines="6" dropStyle="combo" dx="16" fmlaLink="$N$8" fmlaRange="listes!$H$2:$H$7" sel="0" val="0"/>
</file>

<file path=xl/ctrlProps/ctrlProp442.xml><?xml version="1.0" encoding="utf-8"?>
<formControlPr xmlns="http://schemas.microsoft.com/office/spreadsheetml/2009/9/main" objectType="Drop" dropLines="6" dropStyle="combo" dx="16" fmlaLink="$N$9" fmlaRange="listes!$H$2:$H$7" sel="0" val="0"/>
</file>

<file path=xl/ctrlProps/ctrlProp443.xml><?xml version="1.0" encoding="utf-8"?>
<formControlPr xmlns="http://schemas.microsoft.com/office/spreadsheetml/2009/9/main" objectType="Drop" dropLines="6" dropStyle="combo" dx="16" fmlaLink="$N$10" fmlaRange="listes!$H$2:$H$7" sel="0" val="0"/>
</file>

<file path=xl/ctrlProps/ctrlProp444.xml><?xml version="1.0" encoding="utf-8"?>
<formControlPr xmlns="http://schemas.microsoft.com/office/spreadsheetml/2009/9/main" objectType="Drop" dropLines="6" dropStyle="combo" dx="16" fmlaLink="$N$11" fmlaRange="listes!$H$2:$H$7" sel="0" val="0"/>
</file>

<file path=xl/ctrlProps/ctrlProp445.xml><?xml version="1.0" encoding="utf-8"?>
<formControlPr xmlns="http://schemas.microsoft.com/office/spreadsheetml/2009/9/main" objectType="Drop" dropLines="6" dropStyle="combo" dx="16" fmlaLink="$N$12" fmlaRange="listes!$H$2:$H$7" sel="0" val="0"/>
</file>

<file path=xl/ctrlProps/ctrlProp446.xml><?xml version="1.0" encoding="utf-8"?>
<formControlPr xmlns="http://schemas.microsoft.com/office/spreadsheetml/2009/9/main" objectType="Drop" dropLines="6" dropStyle="combo" dx="16" fmlaLink="$N$13" fmlaRange="listes!$H$2:$H$7" sel="0" val="0"/>
</file>

<file path=xl/ctrlProps/ctrlProp447.xml><?xml version="1.0" encoding="utf-8"?>
<formControlPr xmlns="http://schemas.microsoft.com/office/spreadsheetml/2009/9/main" objectType="Drop" dropLines="6" dropStyle="combo" dx="16" fmlaLink="$N$14" fmlaRange="listes!$H$2:$H$7" sel="0" val="0"/>
</file>

<file path=xl/ctrlProps/ctrlProp448.xml><?xml version="1.0" encoding="utf-8"?>
<formControlPr xmlns="http://schemas.microsoft.com/office/spreadsheetml/2009/9/main" objectType="Drop" dropLines="6" dropStyle="combo" dx="16" fmlaLink="$N$15" fmlaRange="listes!$H$2:$H$7" sel="0" val="0"/>
</file>

<file path=xl/ctrlProps/ctrlProp449.xml><?xml version="1.0" encoding="utf-8"?>
<formControlPr xmlns="http://schemas.microsoft.com/office/spreadsheetml/2009/9/main" objectType="Drop" dropLines="6" dropStyle="combo" dx="16" fmlaLink="$N$16" fmlaRange="listes!$H$2:$H$7" sel="0" val="0"/>
</file>

<file path=xl/ctrlProps/ctrlProp45.xml><?xml version="1.0" encoding="utf-8"?>
<formControlPr xmlns="http://schemas.microsoft.com/office/spreadsheetml/2009/9/main" objectType="Drop" dropStyle="combo" dx="16" fmlaLink="Genogramme!$V$6" fmlaRange="listes!$M$18:$M$23" sel="1" val="0"/>
</file>

<file path=xl/ctrlProps/ctrlProp450.xml><?xml version="1.0" encoding="utf-8"?>
<formControlPr xmlns="http://schemas.microsoft.com/office/spreadsheetml/2009/9/main" objectType="Drop" dropLines="6" dropStyle="combo" dx="16" fmlaLink="$N$17" fmlaRange="listes!$H$2:$H$7" sel="0" val="0"/>
</file>

<file path=xl/ctrlProps/ctrlProp451.xml><?xml version="1.0" encoding="utf-8"?>
<formControlPr xmlns="http://schemas.microsoft.com/office/spreadsheetml/2009/9/main" objectType="Drop" dropLines="6" dropStyle="combo" dx="16" fmlaLink="$N$18" fmlaRange="listes!$H$2:$H$7" sel="0" val="0"/>
</file>

<file path=xl/ctrlProps/ctrlProp452.xml><?xml version="1.0" encoding="utf-8"?>
<formControlPr xmlns="http://schemas.microsoft.com/office/spreadsheetml/2009/9/main" objectType="Drop" dropLines="6" dropStyle="combo" dx="16" fmlaLink="$N$19" fmlaRange="listes!$H$2:$H$7" sel="0" val="0"/>
</file>

<file path=xl/ctrlProps/ctrlProp453.xml><?xml version="1.0" encoding="utf-8"?>
<formControlPr xmlns="http://schemas.microsoft.com/office/spreadsheetml/2009/9/main" objectType="Drop" dropLines="6" dropStyle="combo" dx="16" fmlaLink="$N$20" fmlaRange="listes!$H$2:$H$7" sel="0" val="0"/>
</file>

<file path=xl/ctrlProps/ctrlProp454.xml><?xml version="1.0" encoding="utf-8"?>
<formControlPr xmlns="http://schemas.microsoft.com/office/spreadsheetml/2009/9/main" objectType="Drop" dropLines="6" dropStyle="combo" dx="16" fmlaLink="$N$21" fmlaRange="listes!$H$2:$H$7" sel="0" val="0"/>
</file>

<file path=xl/ctrlProps/ctrlProp455.xml><?xml version="1.0" encoding="utf-8"?>
<formControlPr xmlns="http://schemas.microsoft.com/office/spreadsheetml/2009/9/main" objectType="Drop" dropLines="6" dropStyle="combo" dx="16" fmlaLink="$N$22" fmlaRange="listes!$H$2:$H$7" sel="0" val="0"/>
</file>

<file path=xl/ctrlProps/ctrlProp456.xml><?xml version="1.0" encoding="utf-8"?>
<formControlPr xmlns="http://schemas.microsoft.com/office/spreadsheetml/2009/9/main" objectType="Drop" dropLines="6" dropStyle="combo" dx="16" fmlaLink="$N$23" fmlaRange="listes!$H$2:$H$7" sel="0" val="0"/>
</file>

<file path=xl/ctrlProps/ctrlProp457.xml><?xml version="1.0" encoding="utf-8"?>
<formControlPr xmlns="http://schemas.microsoft.com/office/spreadsheetml/2009/9/main" objectType="Drop" dropLines="6" dropStyle="combo" dx="16" fmlaLink="$N$24" fmlaRange="listes!$H$2:$H$7" sel="0" val="0"/>
</file>

<file path=xl/ctrlProps/ctrlProp458.xml><?xml version="1.0" encoding="utf-8"?>
<formControlPr xmlns="http://schemas.microsoft.com/office/spreadsheetml/2009/9/main" objectType="Drop" dropLines="6" dropStyle="combo" dx="16" fmlaLink="$N$25" fmlaRange="listes!$H$2:$H$7" sel="0" val="0"/>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Drop" dropStyle="combo" dx="16" fmlaLink="Genogramme!$V$8" fmlaRange="listes!$M$18:$M$23" sel="1" val="0"/>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Button" lockText="1"/>
</file>

<file path=xl/ctrlProps/ctrlProp47.xml><?xml version="1.0" encoding="utf-8"?>
<formControlPr xmlns="http://schemas.microsoft.com/office/spreadsheetml/2009/9/main" objectType="Drop" dropStyle="combo" dx="16" fmlaLink="Genogramme!$V$10" fmlaRange="listes!$M$18:$M$23" sel="1" val="0"/>
</file>

<file path=xl/ctrlProps/ctrlProp48.xml><?xml version="1.0" encoding="utf-8"?>
<formControlPr xmlns="http://schemas.microsoft.com/office/spreadsheetml/2009/9/main" objectType="Drop" dropStyle="combo" dx="16" fmlaLink="Genogramme!$V$12" fmlaRange="listes!$M$18:$M$23" sel="1" val="0"/>
</file>

<file path=xl/ctrlProps/ctrlProp49.xml><?xml version="1.0" encoding="utf-8"?>
<formControlPr xmlns="http://schemas.microsoft.com/office/spreadsheetml/2009/9/main" objectType="Drop" dropStyle="combo" dx="16" fmlaLink="Genogramme!$V$14" fmlaRange="listes!$M$18:$M$23" sel="1" val="0"/>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Drop" dropStyle="combo" dx="16" fmlaLink="Genogramme!$V$25" fmlaRange="listes!$M$18:$M$23" sel="1" val="0"/>
</file>

<file path=xl/ctrlProps/ctrlProp51.xml><?xml version="1.0" encoding="utf-8"?>
<formControlPr xmlns="http://schemas.microsoft.com/office/spreadsheetml/2009/9/main" objectType="Drop" dropStyle="combo" dx="16" fmlaLink="Genogramme!$W$25" fmlaRange="listes!$M$18:$M$23" sel="1" val="0"/>
</file>

<file path=xl/ctrlProps/ctrlProp52.xml><?xml version="1.0" encoding="utf-8"?>
<formControlPr xmlns="http://schemas.microsoft.com/office/spreadsheetml/2009/9/main" objectType="Drop" dropStyle="combo" dx="16" fmlaLink="Genogramme!$X$25" fmlaRange="listes!$M$18:$M$23" sel="1" val="0"/>
</file>

<file path=xl/ctrlProps/ctrlProp53.xml><?xml version="1.0" encoding="utf-8"?>
<formControlPr xmlns="http://schemas.microsoft.com/office/spreadsheetml/2009/9/main" objectType="Drop" dropStyle="combo" dx="16" fmlaLink="Genogramme!$Y$25" fmlaRange="listes!$M$18:$M$23" sel="1" val="0"/>
</file>

<file path=xl/ctrlProps/ctrlProp54.xml><?xml version="1.0" encoding="utf-8"?>
<formControlPr xmlns="http://schemas.microsoft.com/office/spreadsheetml/2009/9/main" objectType="Drop" dropStyle="combo" dx="16" fmlaLink="Genogramme!$Z$25" fmlaRange="listes!$M$18:$M$23" sel="1" val="0"/>
</file>

<file path=xl/ctrlProps/ctrlProp55.xml><?xml version="1.0" encoding="utf-8"?>
<formControlPr xmlns="http://schemas.microsoft.com/office/spreadsheetml/2009/9/main" objectType="Drop" dropStyle="combo" dx="16" fmlaLink="Genogramme!$U$29" fmlaRange="listes!$M$18:$M$23" sel="1" val="0"/>
</file>

<file path=xl/ctrlProps/ctrlProp56.xml><?xml version="1.0" encoding="utf-8"?>
<formControlPr xmlns="http://schemas.microsoft.com/office/spreadsheetml/2009/9/main" objectType="Drop" dropStyle="combo" dx="16" fmlaLink="Genogramme!$V$29" fmlaRange="listes!$M$18:$M$23" sel="1" val="0"/>
</file>

<file path=xl/ctrlProps/ctrlProp57.xml><?xml version="1.0" encoding="utf-8"?>
<formControlPr xmlns="http://schemas.microsoft.com/office/spreadsheetml/2009/9/main" objectType="Drop" dropStyle="combo" dx="16" fmlaLink="Genogramme!$W$29" fmlaRange="listes!$M$18:$M$23" sel="1" val="0"/>
</file>

<file path=xl/ctrlProps/ctrlProp58.xml><?xml version="1.0" encoding="utf-8"?>
<formControlPr xmlns="http://schemas.microsoft.com/office/spreadsheetml/2009/9/main" objectType="Drop" dropStyle="combo" dx="16" fmlaLink="Genogramme!$X$29" fmlaRange="listes!$M$18:$M$23" sel="1" val="0"/>
</file>

<file path=xl/ctrlProps/ctrlProp59.xml><?xml version="1.0" encoding="utf-8"?>
<formControlPr xmlns="http://schemas.microsoft.com/office/spreadsheetml/2009/9/main" objectType="Drop" dropStyle="combo" dx="16" fmlaLink="Genogramme!$Y$29" fmlaRange="listes!$M$18:$M$23" sel="1" val="0"/>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Drop" dropStyle="combo" dx="16" fmlaLink="Genogramme!$Z$29" fmlaRange="listes!$M$18:$M$23" sel="1" val="0"/>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Drop" dropLines="4" dropStyle="combo" dx="16" fmlaLink="recueil!$E$19" fmlaRange="listes!$A$21:$A$24" sel="0" val="0"/>
</file>

<file path=xl/ctrlProps/ctrlProp65.xml><?xml version="1.0" encoding="utf-8"?>
<formControlPr xmlns="http://schemas.microsoft.com/office/spreadsheetml/2009/9/main" objectType="Drop" dropLines="4" dropStyle="combo" dx="16" fmlaLink="recueil!$E$20" fmlaRange="listes!$A$21:$A$24" sel="0" val="0"/>
</file>

<file path=xl/ctrlProps/ctrlProp66.xml><?xml version="1.0" encoding="utf-8"?>
<formControlPr xmlns="http://schemas.microsoft.com/office/spreadsheetml/2009/9/main" objectType="Drop" dropLines="4" dropStyle="combo" dx="16" fmlaLink="recueil!$E$21" fmlaRange="listes!$A$21:$A$24" sel="0" val="0"/>
</file>

<file path=xl/ctrlProps/ctrlProp67.xml><?xml version="1.0" encoding="utf-8"?>
<formControlPr xmlns="http://schemas.microsoft.com/office/spreadsheetml/2009/9/main" objectType="Drop" dropLines="5" dropStyle="combo" dx="16" fmlaLink="recueil!$E$22" fmlaRange="listes!$A$26:$A$29" sel="0" val="0"/>
</file>

<file path=xl/ctrlProps/ctrlProp68.xml><?xml version="1.0" encoding="utf-8"?>
<formControlPr xmlns="http://schemas.microsoft.com/office/spreadsheetml/2009/9/main" objectType="Drop" dropLines="5" dropStyle="combo" dx="16" fmlaLink="recueil!$E$23" fmlaRange="listes!$A$30:$A$34" sel="0" val="0"/>
</file>

<file path=xl/ctrlProps/ctrlProp69.xml><?xml version="1.0" encoding="utf-8"?>
<formControlPr xmlns="http://schemas.microsoft.com/office/spreadsheetml/2009/9/main" objectType="Drop" dropLines="5" dropStyle="combo" dx="16" fmlaLink="recueil!$E$24" fmlaRange="listes!$A$57:$A$61" sel="0" val="0"/>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Drop" dropLines="4" dropStyle="combo" dx="16" fmlaLink="recueil!$E$25" fmlaRange="listes!$A$41:$A$44" sel="0" val="0"/>
</file>

<file path=xl/ctrlProps/ctrlProp71.xml><?xml version="1.0" encoding="utf-8"?>
<formControlPr xmlns="http://schemas.microsoft.com/office/spreadsheetml/2009/9/main" objectType="Drop" dropLines="4" dropStyle="combo" dx="16" fmlaLink="recueil!$E$26" fmlaRange="listes!$A$41:$A$44" sel="0" val="0"/>
</file>

<file path=xl/ctrlProps/ctrlProp72.xml><?xml version="1.0" encoding="utf-8"?>
<formControlPr xmlns="http://schemas.microsoft.com/office/spreadsheetml/2009/9/main" objectType="Drop" dropLines="4" dropStyle="combo" dx="16" fmlaLink="recueil!$E$27" fmlaRange="listes!$A$41:$A$44" sel="0" val="0"/>
</file>

<file path=xl/ctrlProps/ctrlProp73.xml><?xml version="1.0" encoding="utf-8"?>
<formControlPr xmlns="http://schemas.microsoft.com/office/spreadsheetml/2009/9/main" objectType="Drop" dropLines="5" dropStyle="combo" dx="16" fmlaLink="recueil!$E$28" fmlaRange="listes!$A$64:$A$67" sel="0" val="0"/>
</file>

<file path=xl/ctrlProps/ctrlProp74.xml><?xml version="1.0" encoding="utf-8"?>
<formControlPr xmlns="http://schemas.microsoft.com/office/spreadsheetml/2009/9/main" objectType="Drop" dropLines="4" dropStyle="combo" dx="16" fmlaLink="recueil!$E$29" fmlaRange="listes!$A$36:$A$39" sel="0" val="0"/>
</file>

<file path=xl/ctrlProps/ctrlProp75.xml><?xml version="1.0" encoding="utf-8"?>
<formControlPr xmlns="http://schemas.microsoft.com/office/spreadsheetml/2009/9/main" objectType="Drop" dropLines="4" dropStyle="combo" dx="16" fmlaLink="recueil!$E$30" fmlaRange="listes!$A$36:$A$39" sel="0" val="0"/>
</file>

<file path=xl/ctrlProps/ctrlProp76.xml><?xml version="1.0" encoding="utf-8"?>
<formControlPr xmlns="http://schemas.microsoft.com/office/spreadsheetml/2009/9/main" objectType="Drop" dropLines="4" dropStyle="combo" dx="16" fmlaLink="recueil!$E$31" fmlaRange="listes!$A$36:$A$39" sel="0" val="0"/>
</file>

<file path=xl/ctrlProps/ctrlProp77.xml><?xml version="1.0" encoding="utf-8"?>
<formControlPr xmlns="http://schemas.microsoft.com/office/spreadsheetml/2009/9/main" objectType="Drop" dropLines="4" dropStyle="combo" dx="16" fmlaLink="recueil!$E$32" fmlaRange="listes!$A$21:$A$24" sel="0" val="0"/>
</file>

<file path=xl/ctrlProps/ctrlProp78.xml><?xml version="1.0" encoding="utf-8"?>
<formControlPr xmlns="http://schemas.microsoft.com/office/spreadsheetml/2009/9/main" objectType="Drop" dropLines="4" dropStyle="combo" dx="16" fmlaLink="recueil!$E$33" fmlaRange="listes!$A$21:$A$24" sel="0" val="0"/>
</file>

<file path=xl/ctrlProps/ctrlProp79.xml><?xml version="1.0" encoding="utf-8"?>
<formControlPr xmlns="http://schemas.microsoft.com/office/spreadsheetml/2009/9/main" objectType="Drop" dropLines="4" dropStyle="combo" dx="16" fmlaLink="recueil!$E$34" fmlaRange="listes!$A$21:$A$24" sel="0" val="0"/>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Drop" dropLines="4" dropStyle="combo" dx="16" fmlaLink="recueil!$E$35" fmlaRange="listes!$A$21:$A$24" sel="0" val="0"/>
</file>

<file path=xl/ctrlProps/ctrlProp81.xml><?xml version="1.0" encoding="utf-8"?>
<formControlPr xmlns="http://schemas.microsoft.com/office/spreadsheetml/2009/9/main" objectType="Drop" dropLines="4" dropStyle="combo" dx="16" fmlaLink="recueil!$E$36" fmlaRange="listes!$A$36:$A$39" sel="0" val="0"/>
</file>

<file path=xl/ctrlProps/ctrlProp82.xml><?xml version="1.0" encoding="utf-8"?>
<formControlPr xmlns="http://schemas.microsoft.com/office/spreadsheetml/2009/9/main" objectType="Drop" dropLines="4" dropStyle="combo" dx="16" fmlaLink="recueil!$E$37" fmlaRange="listes!$A$36:$A$39" sel="0" val="0"/>
</file>

<file path=xl/ctrlProps/ctrlProp83.xml><?xml version="1.0" encoding="utf-8"?>
<formControlPr xmlns="http://schemas.microsoft.com/office/spreadsheetml/2009/9/main" objectType="Drop" dropLines="4" dropStyle="combo" dx="16" fmlaLink="recueil!$E$38" fmlaRange="listes!$A$36:$A$39" sel="0" val="0"/>
</file>

<file path=xl/ctrlProps/ctrlProp84.xml><?xml version="1.0" encoding="utf-8"?>
<formControlPr xmlns="http://schemas.microsoft.com/office/spreadsheetml/2009/9/main" objectType="Drop" dropLines="4" dropStyle="combo" dx="16" fmlaLink="recueil!$E$39" fmlaRange="listes!$A$36:$A$39" sel="0" val="0"/>
</file>

<file path=xl/ctrlProps/ctrlProp85.xml><?xml version="1.0" encoding="utf-8"?>
<formControlPr xmlns="http://schemas.microsoft.com/office/spreadsheetml/2009/9/main" objectType="Drop" dropLines="4" dropStyle="combo" dx="16" fmlaLink="recueil!$E$40" fmlaRange="listes!$A$36:$A$39" sel="0" val="0"/>
</file>

<file path=xl/ctrlProps/ctrlProp86.xml><?xml version="1.0" encoding="utf-8"?>
<formControlPr xmlns="http://schemas.microsoft.com/office/spreadsheetml/2009/9/main" objectType="Drop" dropLines="11" dropStyle="combo" dx="16" fmlaLink="recueil!$E$41" fmlaRange="listes!$H$1:$H$11" sel="0" val="0"/>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Drop" dropLines="45" dropStyle="combo" dx="16" fmlaLink="recueil!$E$16" fmlaRange="listes!$M$5:$M$6" sel="0" val="0"/>
</file>

<file path=xl/ctrlProps/ctrlProp89.xml><?xml version="1.0" encoding="utf-8"?>
<formControlPr xmlns="http://schemas.microsoft.com/office/spreadsheetml/2009/9/main" objectType="Drop" dropLines="45" dropStyle="combo" dx="16" fmlaLink="recueil!$E$17" fmlaRange="listes!$M$5:$M$6" sel="0" val="0"/>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Drop" dropLines="45" dropStyle="combo" dx="16" fmlaLink="recueil!$E$18" fmlaRange="listes!$M$5:$M$6" sel="0" val="0"/>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Drop" dropLines="49" dropStyle="combo" dx="16" fmlaLink="recueil!$B$16" fmlaRange="listes!$B$43:$B$47" sel="0" val="0"/>
</file>

<file path=xl/ctrlProps/ctrlProp93.xml><?xml version="1.0" encoding="utf-8"?>
<formControlPr xmlns="http://schemas.microsoft.com/office/spreadsheetml/2009/9/main" objectType="Drop" dropLines="49" dropStyle="combo" dx="16" fmlaLink="recueil!$B$17" fmlaRange="listes!$A$10:$A$13" sel="0" val="0"/>
</file>

<file path=xl/ctrlProps/ctrlProp94.xml><?xml version="1.0" encoding="utf-8"?>
<formControlPr xmlns="http://schemas.microsoft.com/office/spreadsheetml/2009/9/main" objectType="Drop" dropLines="5" dropStyle="combo" dx="16" fmlaLink="recueil!$B$18" fmlaRange="listes!$A$15:$A$19" sel="0" val="0"/>
</file>

<file path=xl/ctrlProps/ctrlProp95.xml><?xml version="1.0" encoding="utf-8"?>
<formControlPr xmlns="http://schemas.microsoft.com/office/spreadsheetml/2009/9/main" objectType="Drop" dropLines="4" dropStyle="combo" dx="16" fmlaLink="recueil!$B$19" fmlaRange="listes!$A$21:$A$24" sel="0" val="0"/>
</file>

<file path=xl/ctrlProps/ctrlProp96.xml><?xml version="1.0" encoding="utf-8"?>
<formControlPr xmlns="http://schemas.microsoft.com/office/spreadsheetml/2009/9/main" objectType="Drop" dropLines="4" dropStyle="combo" dx="16" fmlaLink="recueil!$B$20" fmlaRange="listes!$A$21:$A$24" sel="0" val="0"/>
</file>

<file path=xl/ctrlProps/ctrlProp97.xml><?xml version="1.0" encoding="utf-8"?>
<formControlPr xmlns="http://schemas.microsoft.com/office/spreadsheetml/2009/9/main" objectType="Drop" dropLines="4" dropStyle="combo" dx="16" fmlaLink="recueil!$B$21" fmlaRange="listes!$A$26:$A$29" sel="0" val="0"/>
</file>

<file path=xl/ctrlProps/ctrlProp98.xml><?xml version="1.0" encoding="utf-8"?>
<formControlPr xmlns="http://schemas.microsoft.com/office/spreadsheetml/2009/9/main" objectType="Drop" dropLines="5" dropStyle="combo" dx="16" fmlaLink="recueil!$B$22" fmlaRange="listes!$A$30:$A$34" sel="0" val="0"/>
</file>

<file path=xl/ctrlProps/ctrlProp99.xml><?xml version="1.0" encoding="utf-8"?>
<formControlPr xmlns="http://schemas.microsoft.com/office/spreadsheetml/2009/9/main" objectType="Drop" dropLines="4" dropStyle="combo" dx="16" fmlaLink="recueil!$B$23" fmlaRange="listes!$A$21:$A$24" sel="0"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image" Target="../media/image9.svg"/><Relationship Id="rId2" Type="http://schemas.openxmlformats.org/officeDocument/2006/relationships/image" Target="../media/image8.png"/><Relationship Id="rId1" Type="http://schemas.openxmlformats.org/officeDocument/2006/relationships/image" Target="../media/image5.png"/><Relationship Id="rId5" Type="http://schemas.openxmlformats.org/officeDocument/2006/relationships/image" Target="../media/image7.sv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2.xml.rels><?xml version="1.0" encoding="UTF-8" standalone="yes"?>
<Relationships xmlns="http://schemas.openxmlformats.org/package/2006/relationships"><Relationship Id="rId1" Type="http://schemas.openxmlformats.org/officeDocument/2006/relationships/image" Target="../media/image10.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0.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66675</xdr:colOff>
          <xdr:row>5</xdr:row>
          <xdr:rowOff>66675</xdr:rowOff>
        </xdr:from>
        <xdr:to>
          <xdr:col>7</xdr:col>
          <xdr:colOff>485775</xdr:colOff>
          <xdr:row>6</xdr:row>
          <xdr:rowOff>161925</xdr:rowOff>
        </xdr:to>
        <xdr:sp macro="" textlink="">
          <xdr:nvSpPr>
            <xdr:cNvPr id="11277" name="Button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Références de poids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114300</xdr:rowOff>
        </xdr:from>
        <xdr:to>
          <xdr:col>7</xdr:col>
          <xdr:colOff>485775</xdr:colOff>
          <xdr:row>11</xdr:row>
          <xdr:rowOff>76200</xdr:rowOff>
        </xdr:to>
        <xdr:sp macro="" textlink="">
          <xdr:nvSpPr>
            <xdr:cNvPr id="11320" name="Button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Courbe de poids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9525</xdr:rowOff>
        </xdr:from>
        <xdr:to>
          <xdr:col>7</xdr:col>
          <xdr:colOff>485775</xdr:colOff>
          <xdr:row>13</xdr:row>
          <xdr:rowOff>66675</xdr:rowOff>
        </xdr:to>
        <xdr:sp macro="" textlink="">
          <xdr:nvSpPr>
            <xdr:cNvPr id="11289" name="Button 25" hidden="1">
              <a:extLst>
                <a:ext uri="{63B3BB69-23CF-44E3-9099-C40C66FF867C}">
                  <a14:compatExt spid="_x0000_s11289"/>
                </a:ext>
                <a:ext uri="{FF2B5EF4-FFF2-40B4-BE49-F238E27FC236}">
                  <a16:creationId xmlns:a16="http://schemas.microsoft.com/office/drawing/2014/main" id="{00000000-0008-0000-0000-000019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Suivi des crises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104775</xdr:rowOff>
        </xdr:from>
        <xdr:to>
          <xdr:col>5</xdr:col>
          <xdr:colOff>523875</xdr:colOff>
          <xdr:row>19</xdr:row>
          <xdr:rowOff>123825</xdr:rowOff>
        </xdr:to>
        <xdr:sp macro="" textlink="">
          <xdr:nvSpPr>
            <xdr:cNvPr id="11267" name="Button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Saisie de l'historique de l'IMC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104775</xdr:rowOff>
        </xdr:from>
        <xdr:to>
          <xdr:col>7</xdr:col>
          <xdr:colOff>466725</xdr:colOff>
          <xdr:row>19</xdr:row>
          <xdr:rowOff>114300</xdr:rowOff>
        </xdr:to>
        <xdr:sp macro="" textlink="">
          <xdr:nvSpPr>
            <xdr:cNvPr id="11270" name="Button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Graphique de la courbe d'IMC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57150</xdr:rowOff>
        </xdr:from>
        <xdr:to>
          <xdr:col>7</xdr:col>
          <xdr:colOff>485775</xdr:colOff>
          <xdr:row>24</xdr:row>
          <xdr:rowOff>142875</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Données familiales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47625</xdr:rowOff>
        </xdr:from>
        <xdr:to>
          <xdr:col>7</xdr:col>
          <xdr:colOff>485775</xdr:colOff>
          <xdr:row>26</xdr:row>
          <xdr:rowOff>123825</xdr:rowOff>
        </xdr:to>
        <xdr:sp macro="" textlink="">
          <xdr:nvSpPr>
            <xdr:cNvPr id="11293" name="Button 29" hidden="1">
              <a:extLst>
                <a:ext uri="{63B3BB69-23CF-44E3-9099-C40C66FF867C}">
                  <a14:compatExt spid="_x0000_s11293"/>
                </a:ext>
                <a:ext uri="{FF2B5EF4-FFF2-40B4-BE49-F238E27FC236}">
                  <a16:creationId xmlns:a16="http://schemas.microsoft.com/office/drawing/2014/main" id="{00000000-0008-0000-0000-00001D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Génogramme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xdr:row>
          <xdr:rowOff>85725</xdr:rowOff>
        </xdr:from>
        <xdr:to>
          <xdr:col>11</xdr:col>
          <xdr:colOff>523875</xdr:colOff>
          <xdr:row>11</xdr:row>
          <xdr:rowOff>142875</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Remplir les questionnaires</a:t>
              </a:r>
            </a:p>
            <a:p>
              <a:pPr algn="ctr" rtl="0">
                <a:defRPr sz="1000"/>
              </a:pPr>
              <a:r>
                <a:rPr lang="fr-CH" sz="1100" b="1" i="0" u="none" strike="noStrike" baseline="0">
                  <a:solidFill>
                    <a:srgbClr val="7030A0"/>
                  </a:solidFill>
                  <a:latin typeface="Arial"/>
                  <a:cs typeface="Arial"/>
                </a:rPr>
                <a:t>F50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676275</xdr:colOff>
          <xdr:row>5</xdr:row>
          <xdr:rowOff>114300</xdr:rowOff>
        </xdr:from>
        <xdr:to>
          <xdr:col>16</xdr:col>
          <xdr:colOff>314325</xdr:colOff>
          <xdr:row>6</xdr:row>
          <xdr:rowOff>180975</xdr:rowOff>
        </xdr:to>
        <xdr:sp macro="" textlink="">
          <xdr:nvSpPr>
            <xdr:cNvPr id="11278" name="Button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Facteurs d'entretien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676275</xdr:colOff>
          <xdr:row>7</xdr:row>
          <xdr:rowOff>47625</xdr:rowOff>
        </xdr:from>
        <xdr:to>
          <xdr:col>16</xdr:col>
          <xdr:colOff>333375</xdr:colOff>
          <xdr:row>8</xdr:row>
          <xdr:rowOff>142875</xdr:rowOff>
        </xdr:to>
        <xdr:sp macro="" textlink="">
          <xdr:nvSpPr>
            <xdr:cNvPr id="11292" name="Button 28" hidden="1">
              <a:extLst>
                <a:ext uri="{63B3BB69-23CF-44E3-9099-C40C66FF867C}">
                  <a14:compatExt spid="_x0000_s11292"/>
                </a:ext>
                <a:ext uri="{FF2B5EF4-FFF2-40B4-BE49-F238E27FC236}">
                  <a16:creationId xmlns:a16="http://schemas.microsoft.com/office/drawing/2014/main" id="{00000000-0008-0000-0000-00001C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Qualité de vie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676275</xdr:colOff>
          <xdr:row>9</xdr:row>
          <xdr:rowOff>28575</xdr:rowOff>
        </xdr:from>
        <xdr:to>
          <xdr:col>16</xdr:col>
          <xdr:colOff>333375</xdr:colOff>
          <xdr:row>11</xdr:row>
          <xdr:rowOff>104775</xdr:rowOff>
        </xdr:to>
        <xdr:sp macro="" textlink="">
          <xdr:nvSpPr>
            <xdr:cNvPr id="11323" name="Button 59" hidden="1">
              <a:extLst>
                <a:ext uri="{63B3BB69-23CF-44E3-9099-C40C66FF867C}">
                  <a14:compatExt spid="_x0000_s11323"/>
                </a:ext>
                <a:ext uri="{FF2B5EF4-FFF2-40B4-BE49-F238E27FC236}">
                  <a16:creationId xmlns:a16="http://schemas.microsoft.com/office/drawing/2014/main" id="{00000000-0008-0000-0000-00003B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Graphique IDC</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5</xdr:row>
          <xdr:rowOff>104775</xdr:rowOff>
        </xdr:from>
        <xdr:to>
          <xdr:col>18</xdr:col>
          <xdr:colOff>619125</xdr:colOff>
          <xdr:row>7</xdr:row>
          <xdr:rowOff>104775</xdr:rowOff>
        </xdr:to>
        <xdr:sp macro="" textlink="">
          <xdr:nvSpPr>
            <xdr:cNvPr id="11287" name="Button 23" hidden="1">
              <a:extLst>
                <a:ext uri="{63B3BB69-23CF-44E3-9099-C40C66FF867C}">
                  <a14:compatExt spid="_x0000_s11287"/>
                </a:ext>
                <a:ext uri="{FF2B5EF4-FFF2-40B4-BE49-F238E27FC236}">
                  <a16:creationId xmlns:a16="http://schemas.microsoft.com/office/drawing/2014/main" id="{00000000-0008-0000-0000-000017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Test des Silhouettes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8</xdr:row>
          <xdr:rowOff>47625</xdr:rowOff>
        </xdr:from>
        <xdr:to>
          <xdr:col>18</xdr:col>
          <xdr:colOff>619125</xdr:colOff>
          <xdr:row>11</xdr:row>
          <xdr:rowOff>123825</xdr:rowOff>
        </xdr:to>
        <xdr:sp macro="" textlink="">
          <xdr:nvSpPr>
            <xdr:cNvPr id="11322" name="Button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7030A0"/>
                  </a:solidFill>
                  <a:latin typeface="Arial"/>
                  <a:cs typeface="Arial"/>
                </a:rPr>
                <a:t>Image du corps</a:t>
              </a:r>
            </a:p>
          </xdr:txBody>
        </xdr:sp>
        <xdr:clientData fPrintsWithSheet="0"/>
      </xdr:twoCellAnchor>
    </mc:Choice>
    <mc:Fallback/>
  </mc:AlternateContent>
  <xdr:oneCellAnchor>
    <xdr:from>
      <xdr:col>10</xdr:col>
      <xdr:colOff>29067</xdr:colOff>
      <xdr:row>1</xdr:row>
      <xdr:rowOff>150587</xdr:rowOff>
    </xdr:from>
    <xdr:ext cx="1253290" cy="317500"/>
    <xdr:sp macro="[0]!PleinEcran" textlink="">
      <xdr:nvSpPr>
        <xdr:cNvPr id="11330" name="Rectangle à coins arrondis 2">
          <a:extLst>
            <a:ext uri="{FF2B5EF4-FFF2-40B4-BE49-F238E27FC236}">
              <a16:creationId xmlns:a16="http://schemas.microsoft.com/office/drawing/2014/main" id="{00000000-0008-0000-0000-0000422C0000}"/>
            </a:ext>
          </a:extLst>
        </xdr:cNvPr>
        <xdr:cNvSpPr>
          <a:spLocks noChangeArrowheads="1"/>
        </xdr:cNvSpPr>
      </xdr:nvSpPr>
      <xdr:spPr bwMode="auto">
        <a:xfrm>
          <a:off x="6061567" y="417287"/>
          <a:ext cx="1253290" cy="317500"/>
        </a:xfrm>
        <a:prstGeom prst="roundRect">
          <a:avLst>
            <a:gd name="adj" fmla="val 16667"/>
          </a:avLst>
        </a:prstGeom>
        <a:solidFill>
          <a:schemeClr val="bg1">
            <a:lumMod val="95000"/>
          </a:schemeClr>
        </a:solidFill>
        <a:ln w="25400" cap="rnd" algn="ctr">
          <a:solidFill>
            <a:schemeClr val="tx1"/>
          </a:solidFill>
          <a:round/>
          <a:headEnd/>
          <a:tailEnd/>
        </a:ln>
      </xdr:spPr>
      <xdr:txBody>
        <a:bodyPr anchor="ctr" anchorCtr="0">
          <a:noAutofit/>
        </a:bodyPr>
        <a:lstStyle/>
        <a:p>
          <a:pPr algn="ctr"/>
          <a:r>
            <a:rPr lang="fr-CH" sz="1200" b="1">
              <a:solidFill>
                <a:schemeClr val="tx1"/>
              </a:solidFill>
            </a:rPr>
            <a:t>Plein écran </a:t>
          </a:r>
        </a:p>
      </xdr:txBody>
    </xdr:sp>
    <xdr:clientData/>
  </xdr:oneCellAnchor>
  <xdr:twoCellAnchor editAs="oneCell">
    <xdr:from>
      <xdr:col>1</xdr:col>
      <xdr:colOff>1128439</xdr:colOff>
      <xdr:row>14</xdr:row>
      <xdr:rowOff>115273</xdr:rowOff>
    </xdr:from>
    <xdr:to>
      <xdr:col>1</xdr:col>
      <xdr:colOff>1636357</xdr:colOff>
      <xdr:row>17</xdr:row>
      <xdr:rowOff>77171</xdr:rowOff>
    </xdr:to>
    <xdr:pic macro="[0]!SexeM">
      <xdr:nvPicPr>
        <xdr:cNvPr id="4" name="Graphique 3" descr="Homm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40780" y="2851435"/>
          <a:ext cx="507918" cy="507918"/>
        </a:xfrm>
        <a:prstGeom prst="rect">
          <a:avLst/>
        </a:prstGeom>
      </xdr:spPr>
    </xdr:pic>
    <xdr:clientData/>
  </xdr:twoCellAnchor>
  <xdr:twoCellAnchor editAs="oneCell">
    <xdr:from>
      <xdr:col>1</xdr:col>
      <xdr:colOff>497486</xdr:colOff>
      <xdr:row>14</xdr:row>
      <xdr:rowOff>115272</xdr:rowOff>
    </xdr:from>
    <xdr:to>
      <xdr:col>1</xdr:col>
      <xdr:colOff>1005404</xdr:colOff>
      <xdr:row>17</xdr:row>
      <xdr:rowOff>77170</xdr:rowOff>
    </xdr:to>
    <xdr:pic macro="[0]!Module1.SexeF">
      <xdr:nvPicPr>
        <xdr:cNvPr id="7" name="Graphique 6" descr="Femme">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09827" y="2851434"/>
          <a:ext cx="507918" cy="507918"/>
        </a:xfrm>
        <a:prstGeom prst="rect">
          <a:avLst/>
        </a:prstGeom>
      </xdr:spPr>
    </xdr:pic>
    <xdr:clientData/>
  </xdr:twoCellAnchor>
  <xdr:twoCellAnchor>
    <xdr:from>
      <xdr:col>1</xdr:col>
      <xdr:colOff>527818</xdr:colOff>
      <xdr:row>14</xdr:row>
      <xdr:rowOff>84937</xdr:rowOff>
    </xdr:from>
    <xdr:to>
      <xdr:col>1</xdr:col>
      <xdr:colOff>970700</xdr:colOff>
      <xdr:row>17</xdr:row>
      <xdr:rowOff>109203</xdr:rowOff>
    </xdr:to>
    <xdr:sp macro="" textlink="">
      <xdr:nvSpPr>
        <xdr:cNvPr id="8" name="Ellipse 7">
          <a:extLst>
            <a:ext uri="{FF2B5EF4-FFF2-40B4-BE49-F238E27FC236}">
              <a16:creationId xmlns:a16="http://schemas.microsoft.com/office/drawing/2014/main" id="{00000000-0008-0000-0000-000008000000}"/>
            </a:ext>
          </a:extLst>
        </xdr:cNvPr>
        <xdr:cNvSpPr/>
      </xdr:nvSpPr>
      <xdr:spPr>
        <a:xfrm>
          <a:off x="740159" y="2821099"/>
          <a:ext cx="442882" cy="570286"/>
        </a:xfrm>
        <a:prstGeom prst="ellipse">
          <a:avLst/>
        </a:prstGeom>
        <a:noFill/>
        <a:ln w="25400" cap="flat" cmpd="sng" algn="ctr">
          <a:solidFill>
            <a:schemeClr val="bg1">
              <a:lumMod val="7500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xdr:twoCellAnchor>
    <xdr:from>
      <xdr:col>1</xdr:col>
      <xdr:colOff>1159509</xdr:colOff>
      <xdr:row>14</xdr:row>
      <xdr:rowOff>91729</xdr:rowOff>
    </xdr:from>
    <xdr:to>
      <xdr:col>1</xdr:col>
      <xdr:colOff>1602391</xdr:colOff>
      <xdr:row>17</xdr:row>
      <xdr:rowOff>115995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371850" y="2827891"/>
          <a:ext cx="442882" cy="570286"/>
        </a:xfrm>
        <a:prstGeom prst="ellipse">
          <a:avLst/>
        </a:prstGeom>
        <a:noFill/>
        <a:ln w="25400" cap="flat" cmpd="sng" algn="ctr">
          <a:solidFill>
            <a:schemeClr val="bg1">
              <a:lumMod val="75000"/>
            </a:schemeClr>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FR"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19</xdr:row>
          <xdr:rowOff>19050</xdr:rowOff>
        </xdr:from>
        <xdr:to>
          <xdr:col>3</xdr:col>
          <xdr:colOff>85725</xdr:colOff>
          <xdr:row>20</xdr:row>
          <xdr:rowOff>76200</xdr:rowOff>
        </xdr:to>
        <xdr:sp macro="" textlink="">
          <xdr:nvSpPr>
            <xdr:cNvPr id="11333" name="Drop Down 4"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66675</xdr:rowOff>
        </xdr:from>
        <xdr:to>
          <xdr:col>7</xdr:col>
          <xdr:colOff>485775</xdr:colOff>
          <xdr:row>22</xdr:row>
          <xdr:rowOff>142875</xdr:rowOff>
        </xdr:to>
        <xdr:sp macro="" textlink="">
          <xdr:nvSpPr>
            <xdr:cNvPr id="11334" name="Button 1"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7030A0"/>
                  </a:solidFill>
                  <a:latin typeface="Arial"/>
                  <a:cs typeface="Arial"/>
                </a:rPr>
                <a:t>RAADS-14</a:t>
              </a:r>
            </a:p>
          </xdr:txBody>
        </xdr:sp>
        <xdr:clientData fPrintsWithSheet="0"/>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cdr:x>
      <cdr:y>0</cdr:y>
    </cdr:from>
    <cdr:to>
      <cdr:x>0.00262</cdr:x>
      <cdr:y>0.00401</cdr:y>
    </cdr:to>
    <cdr:pic>
      <cdr:nvPicPr>
        <cdr:cNvPr id="3" name="chart">
          <a:extLst xmlns:a="http://schemas.openxmlformats.org/drawingml/2006/main">
            <a:ext uri="{FF2B5EF4-FFF2-40B4-BE49-F238E27FC236}">
              <a16:creationId xmlns:a16="http://schemas.microsoft.com/office/drawing/2014/main" id="{A3F5B3F0-F70C-4C71-844B-A3926586B8C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0.00262</cdr:x>
      <cdr:y>0.00401</cdr:y>
    </cdr:to>
    <cdr:pic>
      <cdr:nvPicPr>
        <cdr:cNvPr id="4" name="chart">
          <a:extLst xmlns:a="http://schemas.openxmlformats.org/drawingml/2006/main">
            <a:ext uri="{FF2B5EF4-FFF2-40B4-BE49-F238E27FC236}">
              <a16:creationId xmlns:a16="http://schemas.microsoft.com/office/drawing/2014/main" id="{7F3453C4-2BB1-4149-8AE6-319FF050C5A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0.86128</cdr:x>
      <cdr:y>0.09032</cdr:y>
    </cdr:from>
    <cdr:to>
      <cdr:x>0.90766</cdr:x>
      <cdr:y>0.16136</cdr:y>
    </cdr:to>
    <cdr:pic macro="[0]!Accueil">
      <cdr:nvPicPr>
        <cdr:cNvPr id="6" name="Graphique 5" descr="Newspaper">
          <a:extLst xmlns:a="http://schemas.openxmlformats.org/drawingml/2006/main">
            <a:ext uri="{FF2B5EF4-FFF2-40B4-BE49-F238E27FC236}">
              <a16:creationId xmlns:a16="http://schemas.microsoft.com/office/drawing/2014/main" id="{5E180F17-469B-D94D-B662-9CA51198DFB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8013423" y="548584"/>
          <a:ext cx="431525" cy="431525"/>
        </a:xfrm>
        <a:prstGeom xmlns:a="http://schemas.openxmlformats.org/drawingml/2006/main" prst="rect">
          <a:avLst/>
        </a:prstGeom>
      </cdr:spPr>
    </cdr:pic>
  </cdr:relSizeAnchor>
  <cdr:relSizeAnchor xmlns:cdr="http://schemas.openxmlformats.org/drawingml/2006/chartDrawing">
    <cdr:from>
      <cdr:x>0.75964</cdr:x>
      <cdr:y>0.10682</cdr:y>
    </cdr:from>
    <cdr:to>
      <cdr:x>0.85979</cdr:x>
      <cdr:y>0.15114</cdr:y>
    </cdr:to>
    <cdr:sp macro="" textlink="">
      <cdr:nvSpPr>
        <cdr:cNvPr id="7" name="ZoneTexte 6">
          <a:extLst xmlns:a="http://schemas.openxmlformats.org/drawingml/2006/main">
            <a:ext uri="{FF2B5EF4-FFF2-40B4-BE49-F238E27FC236}">
              <a16:creationId xmlns:a16="http://schemas.microsoft.com/office/drawing/2014/main" id="{977D170A-C954-EE42-9283-1BF09B3E4CC2}"/>
            </a:ext>
          </a:extLst>
        </cdr:cNvPr>
        <cdr:cNvSpPr txBox="1"/>
      </cdr:nvSpPr>
      <cdr:spPr>
        <a:xfrm xmlns:a="http://schemas.openxmlformats.org/drawingml/2006/main">
          <a:off x="7067826" y="648804"/>
          <a:ext cx="931790" cy="2691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Page</a:t>
          </a:r>
          <a:r>
            <a:rPr lang="fr-FR" sz="1100" baseline="0"/>
            <a:t> d'accueil</a:t>
          </a:r>
          <a:endParaRPr lang="fr-FR" sz="1100"/>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35278</xdr:colOff>
      <xdr:row>0</xdr:row>
      <xdr:rowOff>42334</xdr:rowOff>
    </xdr:from>
    <xdr:to>
      <xdr:col>22</xdr:col>
      <xdr:colOff>250031</xdr:colOff>
      <xdr:row>28</xdr:row>
      <xdr:rowOff>127000</xdr:rowOff>
    </xdr:to>
    <xdr:graphicFrame macro="">
      <xdr:nvGraphicFramePr>
        <xdr:cNvPr id="5179" name="Chart 11">
          <a:extLst>
            <a:ext uri="{FF2B5EF4-FFF2-40B4-BE49-F238E27FC236}">
              <a16:creationId xmlns:a16="http://schemas.microsoft.com/office/drawing/2014/main" id="{00000000-0008-0000-0800-00003B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38100</xdr:colOff>
          <xdr:row>0</xdr:row>
          <xdr:rowOff>38100</xdr:rowOff>
        </xdr:from>
        <xdr:to>
          <xdr:col>1</xdr:col>
          <xdr:colOff>1362075</xdr:colOff>
          <xdr:row>5</xdr:row>
          <xdr:rowOff>180975</xdr:rowOff>
        </xdr:to>
        <xdr:sp macro="" textlink="">
          <xdr:nvSpPr>
            <xdr:cNvPr id="5132" name="Button 12" hidden="1">
              <a:extLst>
                <a:ext uri="{63B3BB69-23CF-44E3-9099-C40C66FF867C}">
                  <a14:compatExt spid="_x0000_s5132"/>
                </a:ext>
                <a:ext uri="{FF2B5EF4-FFF2-40B4-BE49-F238E27FC236}">
                  <a16:creationId xmlns:a16="http://schemas.microsoft.com/office/drawing/2014/main" id="{00000000-0008-0000-0800-00000C1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r-CH" sz="1200" b="1" i="1"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28575</xdr:colOff>
          <xdr:row>15</xdr:row>
          <xdr:rowOff>28575</xdr:rowOff>
        </xdr:from>
        <xdr:to>
          <xdr:col>2</xdr:col>
          <xdr:colOff>0</xdr:colOff>
          <xdr:row>15</xdr:row>
          <xdr:rowOff>381000</xdr:rowOff>
        </xdr:to>
        <xdr:sp macro="" textlink="">
          <xdr:nvSpPr>
            <xdr:cNvPr id="5139" name="Button 19" hidden="1">
              <a:extLst>
                <a:ext uri="{63B3BB69-23CF-44E3-9099-C40C66FF867C}">
                  <a14:compatExt spid="_x0000_s5139"/>
                </a:ext>
                <a:ext uri="{FF2B5EF4-FFF2-40B4-BE49-F238E27FC236}">
                  <a16:creationId xmlns:a16="http://schemas.microsoft.com/office/drawing/2014/main" id="{00000000-0008-0000-0800-0000131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r-CH" sz="1200" b="1" i="1" u="none" strike="noStrike" baseline="0">
                  <a:solidFill>
                    <a:srgbClr val="FF0000"/>
                  </a:solidFill>
                  <a:latin typeface="Arial"/>
                  <a:cs typeface="Arial"/>
                </a:rPr>
                <a:t>Suivi du poids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24</xdr:row>
          <xdr:rowOff>152400</xdr:rowOff>
        </xdr:from>
        <xdr:to>
          <xdr:col>1</xdr:col>
          <xdr:colOff>981075</xdr:colOff>
          <xdr:row>26</xdr:row>
          <xdr:rowOff>152400</xdr:rowOff>
        </xdr:to>
        <xdr:sp macro="" textlink="">
          <xdr:nvSpPr>
            <xdr:cNvPr id="5161" name="Button 41" hidden="1">
              <a:extLst>
                <a:ext uri="{63B3BB69-23CF-44E3-9099-C40C66FF867C}">
                  <a14:compatExt spid="_x0000_s5161"/>
                </a:ext>
                <a:ext uri="{FF2B5EF4-FFF2-40B4-BE49-F238E27FC236}">
                  <a16:creationId xmlns:a16="http://schemas.microsoft.com/office/drawing/2014/main" id="{00000000-0008-0000-0800-000029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fr-CH" sz="1100" b="1" i="0" u="none" strike="noStrike" baseline="0">
                  <a:solidFill>
                    <a:srgbClr val="FF0000"/>
                  </a:solidFill>
                  <a:latin typeface="Arial"/>
                  <a:cs typeface="Arial"/>
                </a:rPr>
                <a:t>Ajuster le graphique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180975</xdr:colOff>
          <xdr:row>18</xdr:row>
          <xdr:rowOff>47625</xdr:rowOff>
        </xdr:from>
        <xdr:to>
          <xdr:col>1</xdr:col>
          <xdr:colOff>523875</xdr:colOff>
          <xdr:row>20</xdr:row>
          <xdr:rowOff>104775</xdr:rowOff>
        </xdr:to>
        <xdr:sp macro="" textlink="">
          <xdr:nvSpPr>
            <xdr:cNvPr id="5170" name="Spinner 50" hidden="1">
              <a:extLst>
                <a:ext uri="{63B3BB69-23CF-44E3-9099-C40C66FF867C}">
                  <a14:compatExt spid="_x0000_s5170"/>
                </a:ext>
                <a:ext uri="{FF2B5EF4-FFF2-40B4-BE49-F238E27FC236}">
                  <a16:creationId xmlns:a16="http://schemas.microsoft.com/office/drawing/2014/main" id="{00000000-0008-0000-0800-000032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21</xdr:row>
          <xdr:rowOff>47625</xdr:rowOff>
        </xdr:from>
        <xdr:to>
          <xdr:col>1</xdr:col>
          <xdr:colOff>523875</xdr:colOff>
          <xdr:row>23</xdr:row>
          <xdr:rowOff>104775</xdr:rowOff>
        </xdr:to>
        <xdr:sp macro="" textlink="">
          <xdr:nvSpPr>
            <xdr:cNvPr id="5175" name="Spinner 55" hidden="1">
              <a:extLst>
                <a:ext uri="{63B3BB69-23CF-44E3-9099-C40C66FF867C}">
                  <a14:compatExt spid="_x0000_s5175"/>
                </a:ext>
                <a:ext uri="{FF2B5EF4-FFF2-40B4-BE49-F238E27FC236}">
                  <a16:creationId xmlns:a16="http://schemas.microsoft.com/office/drawing/2014/main" id="{00000000-0008-0000-0800-000037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absoluteAnchor>
    <xdr:pos x="0" y="0"/>
    <xdr:ext cx="9867900" cy="6124575"/>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mc:AlternateContent xmlns:mc="http://schemas.openxmlformats.org/markup-compatibility/2006">
    <mc:Choice xmlns:a14="http://schemas.microsoft.com/office/drawing/2010/main" Requires="a14">
      <xdr:twoCellAnchor>
        <xdr:from>
          <xdr:col>11</xdr:col>
          <xdr:colOff>285750</xdr:colOff>
          <xdr:row>10</xdr:row>
          <xdr:rowOff>142875</xdr:rowOff>
        </xdr:from>
        <xdr:to>
          <xdr:col>12</xdr:col>
          <xdr:colOff>666750</xdr:colOff>
          <xdr:row>14</xdr:row>
          <xdr:rowOff>19050</xdr:rowOff>
        </xdr:to>
        <xdr:sp macro="" textlink="">
          <xdr:nvSpPr>
            <xdr:cNvPr id="549889" name="Button 5" hidden="1">
              <a:extLst>
                <a:ext uri="{63B3BB69-23CF-44E3-9099-C40C66FF867C}">
                  <a14:compatExt spid="_x0000_s549889"/>
                </a:ext>
                <a:ext uri="{FF2B5EF4-FFF2-40B4-BE49-F238E27FC236}">
                  <a16:creationId xmlns:a16="http://schemas.microsoft.com/office/drawing/2014/main" id="{00000000-0008-0000-0900-0000016408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1" i="0" u="none" strike="noStrike" baseline="0">
                  <a:solidFill>
                    <a:srgbClr val="FF0000"/>
                  </a:solidFill>
                  <a:latin typeface="Arial"/>
                  <a:cs typeface="Arial"/>
                </a:rPr>
                <a:t>Imprimer</a:t>
              </a:r>
            </a:p>
          </xdr:txBody>
        </xdr:sp>
        <xdr:clientData fPrintsWithSheet="0"/>
      </xdr:twoCellAnchor>
    </mc:Choice>
    <mc:Fallback/>
  </mc:AlternateContent>
</xdr:wsDr>
</file>

<file path=xl/drawings/drawing13.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CDC898C1-91DE-44AB-B397-6B4AA8FA11D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859" y="0"/>
          <a:ext cx="0" cy="0"/>
        </a:xfrm>
        <a:prstGeom xmlns:a="http://schemas.openxmlformats.org/drawingml/2006/main" prst="rect">
          <a:avLst/>
        </a:prstGeom>
      </cdr:spPr>
    </cdr:pic>
  </cdr:relSizeAnchor>
  <cdr:relSizeAnchor xmlns:cdr="http://schemas.openxmlformats.org/drawingml/2006/chartDrawing">
    <cdr:from>
      <cdr:x>0.87375</cdr:x>
      <cdr:y>0.4115</cdr:y>
    </cdr:from>
    <cdr:to>
      <cdr:x>0.99375</cdr:x>
      <cdr:y>0.65377</cdr:y>
    </cdr:to>
    <cdr:sp macro="" textlink="">
      <cdr:nvSpPr>
        <cdr:cNvPr id="191496" name="Rectangle 8">
          <a:extLst xmlns:a="http://schemas.openxmlformats.org/drawingml/2006/main">
            <a:ext uri="{FF2B5EF4-FFF2-40B4-BE49-F238E27FC236}">
              <a16:creationId xmlns:a16="http://schemas.microsoft.com/office/drawing/2014/main" id="{BCA9A683-1139-4127-8F21-44C6A154298D}"/>
            </a:ext>
          </a:extLst>
        </cdr:cNvPr>
        <cdr:cNvSpPr>
          <a:spLocks xmlns:a="http://schemas.openxmlformats.org/drawingml/2006/main" noChangeArrowheads="1"/>
        </cdr:cNvSpPr>
      </cdr:nvSpPr>
      <cdr:spPr bwMode="auto">
        <a:xfrm xmlns:a="http://schemas.openxmlformats.org/drawingml/2006/main">
          <a:off x="7480871" y="2276855"/>
          <a:ext cx="1027416" cy="1340505"/>
        </a:xfrm>
        <a:prstGeom xmlns:a="http://schemas.openxmlformats.org/drawingml/2006/main" prst="rect">
          <a:avLst/>
        </a:prstGeom>
        <a:solidFill xmlns:a="http://schemas.openxmlformats.org/drawingml/2006/main">
          <a:srgbClr val="FFFFFF">
            <a:alpha val="0"/>
          </a:srgbClr>
        </a:solidFill>
        <a:ln xmlns:a="http://schemas.openxmlformats.org/drawingml/2006/main" w="9525">
          <a:solidFill>
            <a:srgbClr val="000000"/>
          </a:solidFill>
          <a:miter lim="800000"/>
          <a:headEnd/>
          <a:tailEnd/>
        </a:ln>
      </cdr:spPr>
      <cdr:txBody>
        <a:bodyPr xmlns:a="http://schemas.openxmlformats.org/drawingml/2006/main"/>
        <a:lstStyle xmlns:a="http://schemas.openxmlformats.org/drawingml/2006/main"/>
        <a:p xmlns:a="http://schemas.openxmlformats.org/drawingml/2006/main">
          <a:endParaRPr lang="fr-CH"/>
        </a:p>
      </cdr:txBody>
    </cdr:sp>
  </cdr:relSizeAnchor>
  <cdr:relSizeAnchor xmlns:cdr="http://schemas.openxmlformats.org/drawingml/2006/chartDrawing">
    <cdr:from>
      <cdr:x>0.65623</cdr:x>
      <cdr:y>0.11086</cdr:y>
    </cdr:from>
    <cdr:to>
      <cdr:x>0.65697</cdr:x>
      <cdr:y>0.88229</cdr:y>
    </cdr:to>
    <cdr:cxnSp macro="">
      <cdr:nvCxnSpPr>
        <cdr:cNvPr id="4" name="Connecteur droit 3">
          <a:extLst xmlns:a="http://schemas.openxmlformats.org/drawingml/2006/main">
            <a:ext uri="{FF2B5EF4-FFF2-40B4-BE49-F238E27FC236}">
              <a16:creationId xmlns:a16="http://schemas.microsoft.com/office/drawing/2014/main" id="{40BBCB76-1CE6-4F0D-AEC8-D1CF66208E7F}"/>
            </a:ext>
          </a:extLst>
        </cdr:cNvPr>
        <cdr:cNvCxnSpPr/>
      </cdr:nvCxnSpPr>
      <cdr:spPr>
        <a:xfrm xmlns:a="http://schemas.openxmlformats.org/drawingml/2006/main">
          <a:off x="6096000" y="671945"/>
          <a:ext cx="6927" cy="4675910"/>
        </a:xfrm>
        <a:prstGeom xmlns:a="http://schemas.openxmlformats.org/drawingml/2006/main" prst="line">
          <a:avLst/>
        </a:prstGeom>
        <a:ln xmlns:a="http://schemas.openxmlformats.org/drawingml/2006/main" w="254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0.9664</cdr:x>
      <cdr:y>0.19577</cdr:y>
    </cdr:from>
    <cdr:to>
      <cdr:x>0.99542</cdr:x>
      <cdr:y>0.24017</cdr:y>
    </cdr:to>
    <cdr:pic macro="[0]!SaisieIMC">
      <cdr:nvPicPr>
        <cdr:cNvPr id="10" name="Graphique 9" descr="Pencil">
          <a:extLst xmlns:a="http://schemas.openxmlformats.org/drawingml/2006/main">
            <a:ext uri="{FF2B5EF4-FFF2-40B4-BE49-F238E27FC236}">
              <a16:creationId xmlns:a16="http://schemas.microsoft.com/office/drawing/2014/main" id="{95655A6B-656F-3448-AB8B-3CD94B6A441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8973747" y="1187267"/>
          <a:ext cx="269408" cy="269303"/>
        </a:xfrm>
        <a:prstGeom xmlns:a="http://schemas.openxmlformats.org/drawingml/2006/main" prst="rect">
          <a:avLst/>
        </a:prstGeom>
      </cdr:spPr>
    </cdr:pic>
  </cdr:relSizeAnchor>
  <cdr:relSizeAnchor xmlns:cdr="http://schemas.openxmlformats.org/drawingml/2006/chartDrawing">
    <cdr:from>
      <cdr:x>0.83548</cdr:x>
      <cdr:y>0.19461</cdr:y>
    </cdr:from>
    <cdr:to>
      <cdr:x>0.98414</cdr:x>
      <cdr:y>0.239</cdr:y>
    </cdr:to>
    <cdr:sp macro="" textlink="">
      <cdr:nvSpPr>
        <cdr:cNvPr id="11" name="ZoneTexte 10">
          <a:extLst xmlns:a="http://schemas.openxmlformats.org/drawingml/2006/main">
            <a:ext uri="{FF2B5EF4-FFF2-40B4-BE49-F238E27FC236}">
              <a16:creationId xmlns:a16="http://schemas.microsoft.com/office/drawing/2014/main" id="{FB4B09E3-304B-C747-BB75-1F3FBD37D686}"/>
            </a:ext>
          </a:extLst>
        </cdr:cNvPr>
        <cdr:cNvSpPr txBox="1"/>
      </cdr:nvSpPr>
      <cdr:spPr>
        <a:xfrm xmlns:a="http://schemas.openxmlformats.org/drawingml/2006/main">
          <a:off x="7758043" y="1180272"/>
          <a:ext cx="1380435" cy="26918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Saisie</a:t>
          </a:r>
          <a:r>
            <a:rPr lang="fr-FR" sz="1100" baseline="0"/>
            <a:t> des données</a:t>
          </a:r>
          <a:endParaRPr lang="fr-FR" sz="1100"/>
        </a:p>
      </cdr:txBody>
    </cdr:sp>
  </cdr:relSizeAnchor>
  <cdr:relSizeAnchor xmlns:cdr="http://schemas.openxmlformats.org/drawingml/2006/chartDrawing">
    <cdr:from>
      <cdr:x>0.95584</cdr:x>
      <cdr:y>0.10106</cdr:y>
    </cdr:from>
    <cdr:to>
      <cdr:x>0.9968</cdr:x>
      <cdr:y>0.16377</cdr:y>
    </cdr:to>
    <cdr:pic macro="[0]!Accueil">
      <cdr:nvPicPr>
        <cdr:cNvPr id="17" name="Graphique 16" descr="Newspaper">
          <a:extLst xmlns:a="http://schemas.openxmlformats.org/drawingml/2006/main">
            <a:ext uri="{FF2B5EF4-FFF2-40B4-BE49-F238E27FC236}">
              <a16:creationId xmlns:a16="http://schemas.microsoft.com/office/drawing/2014/main" id="{A5137AA6-87BC-B84F-9E1F-8E79017BDB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xmlns:a="http://schemas.openxmlformats.org/drawingml/2006/main">
          <a:fillRect/>
        </a:stretch>
      </cdr:blipFill>
      <cdr:spPr>
        <a:xfrm xmlns:a="http://schemas.openxmlformats.org/drawingml/2006/main">
          <a:off x="8889812" y="613729"/>
          <a:ext cx="380950" cy="380834"/>
        </a:xfrm>
        <a:prstGeom xmlns:a="http://schemas.openxmlformats.org/drawingml/2006/main" prst="rect">
          <a:avLst/>
        </a:prstGeom>
      </cdr:spPr>
    </cdr:pic>
  </cdr:relSizeAnchor>
  <cdr:relSizeAnchor xmlns:cdr="http://schemas.openxmlformats.org/drawingml/2006/chartDrawing">
    <cdr:from>
      <cdr:x>0.85901</cdr:x>
      <cdr:y>0.11562</cdr:y>
    </cdr:from>
    <cdr:to>
      <cdr:x>0.96141</cdr:x>
      <cdr:y>0.15818</cdr:y>
    </cdr:to>
    <cdr:sp macro="" textlink="">
      <cdr:nvSpPr>
        <cdr:cNvPr id="18" name="ZoneTexte 17">
          <a:extLst xmlns:a="http://schemas.openxmlformats.org/drawingml/2006/main">
            <a:ext uri="{FF2B5EF4-FFF2-40B4-BE49-F238E27FC236}">
              <a16:creationId xmlns:a16="http://schemas.microsoft.com/office/drawing/2014/main" id="{F75F4A58-11ED-5947-AE94-B59096BDF40B}"/>
            </a:ext>
          </a:extLst>
        </cdr:cNvPr>
        <cdr:cNvSpPr txBox="1"/>
      </cdr:nvSpPr>
      <cdr:spPr>
        <a:xfrm xmlns:a="http://schemas.openxmlformats.org/drawingml/2006/main">
          <a:off x="7989257" y="702150"/>
          <a:ext cx="952337" cy="2584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Page d'accueil</a:t>
          </a:r>
        </a:p>
      </cdr:txBody>
    </cdr:sp>
  </cdr:relSizeAnchor>
</c:userShapes>
</file>

<file path=xl/drawings/drawing14.xml><?xml version="1.0" encoding="utf-8"?>
<xdr:wsDr xmlns:xdr="http://schemas.openxmlformats.org/drawingml/2006/spreadsheetDrawing" xmlns:a="http://schemas.openxmlformats.org/drawingml/2006/main">
  <xdr:twoCellAnchor>
    <xdr:from>
      <xdr:col>2</xdr:col>
      <xdr:colOff>240659</xdr:colOff>
      <xdr:row>12</xdr:row>
      <xdr:rowOff>45582</xdr:rowOff>
    </xdr:from>
    <xdr:to>
      <xdr:col>9</xdr:col>
      <xdr:colOff>289985</xdr:colOff>
      <xdr:row>23</xdr:row>
      <xdr:rowOff>29765</xdr:rowOff>
    </xdr:to>
    <xdr:sp macro="" textlink="">
      <xdr:nvSpPr>
        <xdr:cNvPr id="5" name="Text Box 3">
          <a:extLst>
            <a:ext uri="{FF2B5EF4-FFF2-40B4-BE49-F238E27FC236}">
              <a16:creationId xmlns:a16="http://schemas.microsoft.com/office/drawing/2014/main" id="{00000000-0008-0000-0A00-000005000000}"/>
            </a:ext>
          </a:extLst>
        </xdr:cNvPr>
        <xdr:cNvSpPr txBox="1">
          <a:spLocks noChangeArrowheads="1"/>
        </xdr:cNvSpPr>
      </xdr:nvSpPr>
      <xdr:spPr bwMode="auto">
        <a:xfrm>
          <a:off x="2608680" y="1385035"/>
          <a:ext cx="5119404" cy="1766813"/>
        </a:xfrm>
        <a:prstGeom prst="rect">
          <a:avLst/>
        </a:prstGeom>
        <a:solidFill>
          <a:schemeClr val="accent6">
            <a:lumMod val="20000"/>
            <a:lumOff val="80000"/>
          </a:schemeClr>
        </a:solidFill>
        <a:ln w="9525">
          <a:solidFill>
            <a:srgbClr val="000000"/>
          </a:solidFill>
          <a:miter lim="800000"/>
          <a:headEnd/>
          <a:tailEnd/>
        </a:ln>
      </xdr:spPr>
      <xdr:txBody>
        <a:bodyPr vertOverflow="clip" wrap="square" lIns="36576" tIns="22860" rIns="0" bIns="0" anchor="t" upright="1"/>
        <a:lstStyle/>
        <a:p>
          <a:pPr algn="l" rtl="0">
            <a:defRPr sz="1000"/>
          </a:pPr>
          <a:r>
            <a:rPr lang="fr-CH" sz="1400" b="0" i="0" strike="noStrike">
              <a:solidFill>
                <a:srgbClr val="000000"/>
              </a:solidFill>
              <a:latin typeface="Arial"/>
              <a:cs typeface="Arial"/>
            </a:rPr>
            <a:t>Instructions</a:t>
          </a:r>
          <a:r>
            <a:rPr lang="fr-CH" sz="1200" b="0" i="0" strike="noStrike">
              <a:solidFill>
                <a:srgbClr val="000000"/>
              </a:solidFill>
              <a:latin typeface="Arial"/>
              <a:cs typeface="Arial"/>
            </a:rPr>
            <a:t> :</a:t>
          </a:r>
        </a:p>
        <a:p>
          <a:pPr algn="l" rtl="0">
            <a:defRPr sz="1000"/>
          </a:pPr>
          <a:endParaRPr lang="fr-CH" sz="1200" b="0" i="0" strike="noStrike">
            <a:solidFill>
              <a:srgbClr val="000000"/>
            </a:solidFill>
            <a:latin typeface="Arial"/>
            <a:cs typeface="Arial"/>
          </a:endParaRPr>
        </a:p>
        <a:p>
          <a:pPr algn="l" rtl="0">
            <a:defRPr sz="1000"/>
          </a:pPr>
          <a:r>
            <a:rPr lang="fr-CH" sz="1200" b="0" i="0" strike="noStrike">
              <a:solidFill>
                <a:srgbClr val="000000"/>
              </a:solidFill>
              <a:latin typeface="Arial"/>
              <a:cs typeface="Arial"/>
            </a:rPr>
            <a:t>1) Grâce au carnet de santé, remplissez les</a:t>
          </a:r>
          <a:r>
            <a:rPr lang="fr-CH" sz="1200" b="0" i="0" strike="noStrike" baseline="0">
              <a:solidFill>
                <a:srgbClr val="000000"/>
              </a:solidFill>
              <a:latin typeface="Arial"/>
              <a:cs typeface="Arial"/>
            </a:rPr>
            <a:t> items </a:t>
          </a:r>
          <a:r>
            <a:rPr lang="fr-CH" sz="1200" b="0" i="0" strike="noStrike">
              <a:solidFill>
                <a:srgbClr val="000000"/>
              </a:solidFill>
              <a:latin typeface="Arial"/>
              <a:cs typeface="Arial"/>
            </a:rPr>
            <a:t>sans laisser de case vide en</a:t>
          </a:r>
          <a:r>
            <a:rPr lang="fr-CH" sz="1200" b="0" i="0" strike="noStrike" baseline="0">
              <a:solidFill>
                <a:srgbClr val="000000"/>
              </a:solidFill>
              <a:latin typeface="Arial"/>
              <a:cs typeface="Arial"/>
            </a:rPr>
            <a:t> notant les</a:t>
          </a:r>
          <a:r>
            <a:rPr lang="fr-CH" sz="1200" b="0" i="0" strike="noStrike">
              <a:solidFill>
                <a:srgbClr val="000000"/>
              </a:solidFill>
              <a:latin typeface="Arial"/>
              <a:cs typeface="Arial"/>
            </a:rPr>
            <a:t> </a:t>
          </a:r>
          <a:r>
            <a:rPr lang="fr-CH" sz="1200" b="0" i="0" strike="noStrike">
              <a:solidFill>
                <a:sysClr val="windowText" lastClr="000000"/>
              </a:solidFill>
              <a:latin typeface="Arial"/>
              <a:cs typeface="Arial"/>
            </a:rPr>
            <a:t>poids en kg</a:t>
          </a:r>
          <a:r>
            <a:rPr lang="fr-CH" sz="1200" b="0" i="0" strike="noStrike">
              <a:solidFill>
                <a:srgbClr val="000000"/>
              </a:solidFill>
              <a:latin typeface="Arial"/>
              <a:cs typeface="Arial"/>
            </a:rPr>
            <a:t>,les </a:t>
          </a:r>
          <a:r>
            <a:rPr lang="fr-CH" sz="1200" b="0" i="0" strike="noStrike">
              <a:solidFill>
                <a:sysClr val="windowText" lastClr="000000"/>
              </a:solidFill>
              <a:latin typeface="Arial"/>
              <a:cs typeface="Arial"/>
            </a:rPr>
            <a:t>tailles en mètres </a:t>
          </a:r>
          <a:r>
            <a:rPr lang="fr-CH" sz="1200" b="0" i="0" strike="noStrike">
              <a:solidFill>
                <a:srgbClr val="000000"/>
              </a:solidFill>
              <a:latin typeface="Arial"/>
              <a:cs typeface="Arial"/>
            </a:rPr>
            <a:t>et</a:t>
          </a:r>
          <a:r>
            <a:rPr lang="fr-CH" sz="1200" b="0" i="0" strike="noStrike" baseline="0">
              <a:solidFill>
                <a:srgbClr val="000000"/>
              </a:solidFill>
              <a:latin typeface="Arial"/>
              <a:cs typeface="Arial"/>
            </a:rPr>
            <a:t> les</a:t>
          </a:r>
          <a:r>
            <a:rPr lang="fr-CH" sz="1200" b="0" i="0" strike="noStrike">
              <a:solidFill>
                <a:srgbClr val="000000"/>
              </a:solidFill>
              <a:latin typeface="Arial"/>
              <a:cs typeface="Arial"/>
            </a:rPr>
            <a:t> </a:t>
          </a:r>
          <a:r>
            <a:rPr lang="fr-CH" sz="1200" b="0" i="0" strike="noStrike">
              <a:solidFill>
                <a:schemeClr val="tx1">
                  <a:lumMod val="65000"/>
                  <a:lumOff val="35000"/>
                </a:schemeClr>
              </a:solidFill>
              <a:latin typeface="Arial"/>
              <a:cs typeface="Arial"/>
            </a:rPr>
            <a:t>dates des relevé </a:t>
          </a:r>
          <a:r>
            <a:rPr lang="fr-CH" sz="1200" b="0" i="0" strike="noStrike">
              <a:solidFill>
                <a:sysClr val="windowText" lastClr="000000"/>
              </a:solidFill>
              <a:latin typeface="Arial"/>
              <a:cs typeface="Arial"/>
            </a:rPr>
            <a:t>sous la forme jj/mm/aaaa</a:t>
          </a:r>
          <a:r>
            <a:rPr lang="fr-CH" sz="1200" b="0" i="0" strike="noStrike">
              <a:solidFill>
                <a:schemeClr val="tx1">
                  <a:lumMod val="65000"/>
                  <a:lumOff val="35000"/>
                </a:schemeClr>
              </a:solidFill>
              <a:latin typeface="Arial"/>
              <a:cs typeface="Arial"/>
            </a:rPr>
            <a:t>.</a:t>
          </a:r>
        </a:p>
        <a:p>
          <a:pPr algn="l" rtl="0">
            <a:defRPr sz="1000"/>
          </a:pPr>
          <a:r>
            <a:rPr lang="fr-CH" sz="1200" b="0" i="0" strike="noStrike">
              <a:solidFill>
                <a:srgbClr val="000000"/>
              </a:solidFill>
              <a:latin typeface="Arial"/>
              <a:cs typeface="Arial"/>
            </a:rPr>
            <a:t>2) Ne saisissez de valeur que si vous avez le poids, la taille et la date.</a:t>
          </a:r>
        </a:p>
        <a:p>
          <a:pPr algn="l" rtl="0">
            <a:defRPr sz="1000"/>
          </a:pPr>
          <a:r>
            <a:rPr lang="fr-CH" sz="1200" b="0" i="0" strike="noStrike">
              <a:solidFill>
                <a:srgbClr val="000000"/>
              </a:solidFill>
              <a:latin typeface="Arial"/>
              <a:cs typeface="Arial"/>
            </a:rPr>
            <a:t>3) Vous pouvez visualiser le résultat sur le graphique en appuyant sur le bouton correspondant</a:t>
          </a:r>
        </a:p>
        <a:p>
          <a:pPr algn="l" rtl="0">
            <a:defRPr sz="1000"/>
          </a:pPr>
          <a:r>
            <a:rPr lang="fr-CH" sz="1200" b="0" i="0" strike="noStrike">
              <a:solidFill>
                <a:srgbClr val="000000"/>
              </a:solidFill>
              <a:latin typeface="Arial"/>
              <a:cs typeface="Arial"/>
            </a:rPr>
            <a:t>4) Vous retournez à la page d'accueil par le bouton retour.</a:t>
          </a:r>
        </a:p>
      </xdr:txBody>
    </xdr:sp>
    <xdr:clientData/>
  </xdr:twoCellAnchor>
  <mc:AlternateContent xmlns:mc="http://schemas.openxmlformats.org/markup-compatibility/2006">
    <mc:Choice xmlns:a14="http://schemas.microsoft.com/office/drawing/2010/main" Requires="a14">
      <xdr:twoCellAnchor>
        <xdr:from>
          <xdr:col>0</xdr:col>
          <xdr:colOff>152400</xdr:colOff>
          <xdr:row>13</xdr:row>
          <xdr:rowOff>142875</xdr:rowOff>
        </xdr:from>
        <xdr:to>
          <xdr:col>1</xdr:col>
          <xdr:colOff>676275</xdr:colOff>
          <xdr:row>17</xdr:row>
          <xdr:rowOff>38100</xdr:rowOff>
        </xdr:to>
        <xdr:sp macro="" textlink="">
          <xdr:nvSpPr>
            <xdr:cNvPr id="183297" name="Button 1" hidden="1">
              <a:extLst>
                <a:ext uri="{63B3BB69-23CF-44E3-9099-C40C66FF867C}">
                  <a14:compatExt spid="_x0000_s183297"/>
                </a:ext>
                <a:ext uri="{FF2B5EF4-FFF2-40B4-BE49-F238E27FC236}">
                  <a16:creationId xmlns:a16="http://schemas.microsoft.com/office/drawing/2014/main" id="{00000000-0008-0000-0A00-000001CC02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CH" sz="1400" b="1" i="1" u="none" strike="noStrike" baseline="0">
                  <a:solidFill>
                    <a:srgbClr val="9933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152400</xdr:colOff>
          <xdr:row>17</xdr:row>
          <xdr:rowOff>142875</xdr:rowOff>
        </xdr:from>
        <xdr:to>
          <xdr:col>1</xdr:col>
          <xdr:colOff>676275</xdr:colOff>
          <xdr:row>21</xdr:row>
          <xdr:rowOff>180975</xdr:rowOff>
        </xdr:to>
        <xdr:sp macro="" textlink="">
          <xdr:nvSpPr>
            <xdr:cNvPr id="183298" name="Button 2" hidden="1">
              <a:extLst>
                <a:ext uri="{63B3BB69-23CF-44E3-9099-C40C66FF867C}">
                  <a14:compatExt spid="_x0000_s183298"/>
                </a:ext>
                <a:ext uri="{FF2B5EF4-FFF2-40B4-BE49-F238E27FC236}">
                  <a16:creationId xmlns:a16="http://schemas.microsoft.com/office/drawing/2014/main" id="{00000000-0008-0000-0A00-000002CC02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fr-CH" sz="1200" b="1" i="1" u="none" strike="noStrike" baseline="0">
                  <a:solidFill>
                    <a:srgbClr val="339966"/>
                  </a:solidFill>
                  <a:latin typeface="Arial"/>
                  <a:cs typeface="Arial"/>
                </a:rPr>
                <a:t>Voir le Graphique de la courbe d'IMC</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607233" name="Button 1" hidden="1">
              <a:extLst>
                <a:ext uri="{63B3BB69-23CF-44E3-9099-C40C66FF867C}">
                  <a14:compatExt spid="_x0000_s607233"/>
                </a:ext>
                <a:ext uri="{FF2B5EF4-FFF2-40B4-BE49-F238E27FC236}">
                  <a16:creationId xmlns:a16="http://schemas.microsoft.com/office/drawing/2014/main" id="{00000000-0008-0000-0C00-0000014409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395" name="Button 11" hidden="1">
              <a:extLst>
                <a:ext uri="{63B3BB69-23CF-44E3-9099-C40C66FF867C}">
                  <a14:compatExt spid="_x0000_s16395"/>
                </a:ext>
                <a:ext uri="{FF2B5EF4-FFF2-40B4-BE49-F238E27FC236}">
                  <a16:creationId xmlns:a16="http://schemas.microsoft.com/office/drawing/2014/main" id="{00000000-0008-0000-0D00-00000B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Retour Acueil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396" name="Button 12" hidden="1">
              <a:extLst>
                <a:ext uri="{63B3BB69-23CF-44E3-9099-C40C66FF867C}">
                  <a14:compatExt spid="_x0000_s16396"/>
                </a:ext>
                <a:ext uri="{FF2B5EF4-FFF2-40B4-BE49-F238E27FC236}">
                  <a16:creationId xmlns:a16="http://schemas.microsoft.com/office/drawing/2014/main" id="{00000000-0008-0000-0D00-00000C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398" name="Button 14" hidden="1">
              <a:extLst>
                <a:ext uri="{63B3BB69-23CF-44E3-9099-C40C66FF867C}">
                  <a14:compatExt spid="_x0000_s16398"/>
                </a:ext>
                <a:ext uri="{FF2B5EF4-FFF2-40B4-BE49-F238E27FC236}">
                  <a16:creationId xmlns:a16="http://schemas.microsoft.com/office/drawing/2014/main" id="{00000000-0008-0000-0D00-00000E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400" name="Button 16" hidden="1">
              <a:extLst>
                <a:ext uri="{63B3BB69-23CF-44E3-9099-C40C66FF867C}">
                  <a14:compatExt spid="_x0000_s16400"/>
                </a:ext>
                <a:ext uri="{FF2B5EF4-FFF2-40B4-BE49-F238E27FC236}">
                  <a16:creationId xmlns:a16="http://schemas.microsoft.com/office/drawing/2014/main" id="{00000000-0008-0000-0D00-000010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402" name="Button 18" hidden="1">
              <a:extLst>
                <a:ext uri="{63B3BB69-23CF-44E3-9099-C40C66FF867C}">
                  <a14:compatExt spid="_x0000_s16402"/>
                </a:ext>
                <a:ext uri="{FF2B5EF4-FFF2-40B4-BE49-F238E27FC236}">
                  <a16:creationId xmlns:a16="http://schemas.microsoft.com/office/drawing/2014/main" id="{00000000-0008-0000-0D00-000012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16404" name="Button 20" hidden="1">
              <a:extLst>
                <a:ext uri="{63B3BB69-23CF-44E3-9099-C40C66FF867C}">
                  <a14:compatExt spid="_x0000_s16404"/>
                </a:ext>
                <a:ext uri="{FF2B5EF4-FFF2-40B4-BE49-F238E27FC236}">
                  <a16:creationId xmlns:a16="http://schemas.microsoft.com/office/drawing/2014/main" id="{00000000-0008-0000-0D00-000014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20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05" name="Button 21" hidden="1">
              <a:extLst>
                <a:ext uri="{63B3BB69-23CF-44E3-9099-C40C66FF867C}">
                  <a14:compatExt spid="_x0000_s16405"/>
                </a:ext>
                <a:ext uri="{FF2B5EF4-FFF2-40B4-BE49-F238E27FC236}">
                  <a16:creationId xmlns:a16="http://schemas.microsoft.com/office/drawing/2014/main" id="{00000000-0008-0000-0D00-000015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06" name="Button 1" hidden="1">
              <a:extLst>
                <a:ext uri="{63B3BB69-23CF-44E3-9099-C40C66FF867C}">
                  <a14:compatExt spid="_x0000_s16406"/>
                </a:ext>
                <a:ext uri="{FF2B5EF4-FFF2-40B4-BE49-F238E27FC236}">
                  <a16:creationId xmlns:a16="http://schemas.microsoft.com/office/drawing/2014/main" id="{00000000-0008-0000-0D00-000016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07" name="Button 1" hidden="1">
              <a:extLst>
                <a:ext uri="{63B3BB69-23CF-44E3-9099-C40C66FF867C}">
                  <a14:compatExt spid="_x0000_s16407"/>
                </a:ext>
                <a:ext uri="{FF2B5EF4-FFF2-40B4-BE49-F238E27FC236}">
                  <a16:creationId xmlns:a16="http://schemas.microsoft.com/office/drawing/2014/main" id="{00000000-0008-0000-0D00-000017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08" name="Button 1" hidden="1">
              <a:extLst>
                <a:ext uri="{63B3BB69-23CF-44E3-9099-C40C66FF867C}">
                  <a14:compatExt spid="_x0000_s16408"/>
                </a:ext>
                <a:ext uri="{FF2B5EF4-FFF2-40B4-BE49-F238E27FC236}">
                  <a16:creationId xmlns:a16="http://schemas.microsoft.com/office/drawing/2014/main" id="{00000000-0008-0000-0D00-000018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09" name="Button 1" hidden="1">
              <a:extLst>
                <a:ext uri="{63B3BB69-23CF-44E3-9099-C40C66FF867C}">
                  <a14:compatExt spid="_x0000_s16409"/>
                </a:ext>
                <a:ext uri="{FF2B5EF4-FFF2-40B4-BE49-F238E27FC236}">
                  <a16:creationId xmlns:a16="http://schemas.microsoft.com/office/drawing/2014/main" id="{00000000-0008-0000-0D00-000019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16410" name="Button 1" hidden="1">
              <a:extLst>
                <a:ext uri="{63B3BB69-23CF-44E3-9099-C40C66FF867C}">
                  <a14:compatExt spid="_x0000_s16410"/>
                </a:ext>
                <a:ext uri="{FF2B5EF4-FFF2-40B4-BE49-F238E27FC236}">
                  <a16:creationId xmlns:a16="http://schemas.microsoft.com/office/drawing/2014/main" id="{00000000-0008-0000-0D00-00001A40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77" name="Button 1" hidden="1">
              <a:extLst>
                <a:ext uri="{63B3BB69-23CF-44E3-9099-C40C66FF867C}">
                  <a14:compatExt spid="_x0000_s50177"/>
                </a:ext>
                <a:ext uri="{FF2B5EF4-FFF2-40B4-BE49-F238E27FC236}">
                  <a16:creationId xmlns:a16="http://schemas.microsoft.com/office/drawing/2014/main" id="{00000000-0008-0000-0E00-000001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Retour Acueil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78" name="Button 2" hidden="1">
              <a:extLst>
                <a:ext uri="{63B3BB69-23CF-44E3-9099-C40C66FF867C}">
                  <a14:compatExt spid="_x0000_s50178"/>
                </a:ext>
                <a:ext uri="{FF2B5EF4-FFF2-40B4-BE49-F238E27FC236}">
                  <a16:creationId xmlns:a16="http://schemas.microsoft.com/office/drawing/2014/main" id="{00000000-0008-0000-0E00-000002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12</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79" name="Button 3" hidden="1">
              <a:extLst>
                <a:ext uri="{63B3BB69-23CF-44E3-9099-C40C66FF867C}">
                  <a14:compatExt spid="_x0000_s50179"/>
                </a:ext>
                <a:ext uri="{FF2B5EF4-FFF2-40B4-BE49-F238E27FC236}">
                  <a16:creationId xmlns:a16="http://schemas.microsoft.com/office/drawing/2014/main" id="{00000000-0008-0000-0E00-000003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14</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80" name="Button 4" hidden="1">
              <a:extLst>
                <a:ext uri="{63B3BB69-23CF-44E3-9099-C40C66FF867C}">
                  <a14:compatExt spid="_x0000_s50180"/>
                </a:ext>
                <a:ext uri="{FF2B5EF4-FFF2-40B4-BE49-F238E27FC236}">
                  <a16:creationId xmlns:a16="http://schemas.microsoft.com/office/drawing/2014/main" id="{00000000-0008-0000-0E00-000004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16</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81" name="Button 5" hidden="1">
              <a:extLst>
                <a:ext uri="{63B3BB69-23CF-44E3-9099-C40C66FF867C}">
                  <a14:compatExt spid="_x0000_s50181"/>
                </a:ext>
                <a:ext uri="{FF2B5EF4-FFF2-40B4-BE49-F238E27FC236}">
                  <a16:creationId xmlns:a16="http://schemas.microsoft.com/office/drawing/2014/main" id="{00000000-0008-0000-0E00-000005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18</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142875</xdr:colOff>
          <xdr:row>0</xdr:row>
          <xdr:rowOff>0</xdr:rowOff>
        </xdr:from>
        <xdr:to>
          <xdr:col>11</xdr:col>
          <xdr:colOff>38100</xdr:colOff>
          <xdr:row>0</xdr:row>
          <xdr:rowOff>0</xdr:rowOff>
        </xdr:to>
        <xdr:sp macro="" textlink="">
          <xdr:nvSpPr>
            <xdr:cNvPr id="50182" name="Button 6" hidden="1">
              <a:extLst>
                <a:ext uri="{63B3BB69-23CF-44E3-9099-C40C66FF867C}">
                  <a14:compatExt spid="_x0000_s50182"/>
                </a:ext>
                <a:ext uri="{FF2B5EF4-FFF2-40B4-BE49-F238E27FC236}">
                  <a16:creationId xmlns:a16="http://schemas.microsoft.com/office/drawing/2014/main" id="{00000000-0008-0000-0E00-000006C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0" i="0" u="none" strike="noStrike" baseline="0">
                  <a:solidFill>
                    <a:srgbClr val="000000"/>
                  </a:solidFill>
                  <a:latin typeface="Arial"/>
                  <a:cs typeface="Arial"/>
                </a:rPr>
                <a:t>Bouton 20</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50183" name="Button 1" hidden="1">
              <a:extLst>
                <a:ext uri="{63B3BB69-23CF-44E3-9099-C40C66FF867C}">
                  <a14:compatExt spid="_x0000_s50183"/>
                </a:ext>
                <a:ext uri="{FF2B5EF4-FFF2-40B4-BE49-F238E27FC236}">
                  <a16:creationId xmlns:a16="http://schemas.microsoft.com/office/drawing/2014/main" id="{00000000-0008-0000-0E00-000007C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50184" name="Button 1" hidden="1">
              <a:extLst>
                <a:ext uri="{63B3BB69-23CF-44E3-9099-C40C66FF867C}">
                  <a14:compatExt spid="_x0000_s50184"/>
                </a:ext>
                <a:ext uri="{FF2B5EF4-FFF2-40B4-BE49-F238E27FC236}">
                  <a16:creationId xmlns:a16="http://schemas.microsoft.com/office/drawing/2014/main" id="{00000000-0008-0000-0E00-000008C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50185" name="Button 1" hidden="1">
              <a:extLst>
                <a:ext uri="{63B3BB69-23CF-44E3-9099-C40C66FF867C}">
                  <a14:compatExt spid="_x0000_s50185"/>
                </a:ext>
                <a:ext uri="{FF2B5EF4-FFF2-40B4-BE49-F238E27FC236}">
                  <a16:creationId xmlns:a16="http://schemas.microsoft.com/office/drawing/2014/main" id="{00000000-0008-0000-0E00-000009C400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634881" name="Button 1" hidden="1">
              <a:extLst>
                <a:ext uri="{63B3BB69-23CF-44E3-9099-C40C66FF867C}">
                  <a14:compatExt spid="_x0000_s634881"/>
                </a:ext>
                <a:ext uri="{FF2B5EF4-FFF2-40B4-BE49-F238E27FC236}">
                  <a16:creationId xmlns:a16="http://schemas.microsoft.com/office/drawing/2014/main" id="{00000000-0008-0000-0F00-000001B009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634882" name="Button 1" hidden="1">
              <a:extLst>
                <a:ext uri="{63B3BB69-23CF-44E3-9099-C40C66FF867C}">
                  <a14:compatExt spid="_x0000_s634882"/>
                </a:ext>
                <a:ext uri="{FF2B5EF4-FFF2-40B4-BE49-F238E27FC236}">
                  <a16:creationId xmlns:a16="http://schemas.microsoft.com/office/drawing/2014/main" id="{00000000-0008-0000-0F00-000002B009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676275</xdr:colOff>
          <xdr:row>9</xdr:row>
          <xdr:rowOff>28575</xdr:rowOff>
        </xdr:from>
        <xdr:to>
          <xdr:col>12</xdr:col>
          <xdr:colOff>219075</xdr:colOff>
          <xdr:row>11</xdr:row>
          <xdr:rowOff>76200</xdr:rowOff>
        </xdr:to>
        <xdr:sp macro="" textlink="">
          <xdr:nvSpPr>
            <xdr:cNvPr id="635905" name="Button 1" hidden="1">
              <a:extLst>
                <a:ext uri="{63B3BB69-23CF-44E3-9099-C40C66FF867C}">
                  <a14:compatExt spid="_x0000_s635905"/>
                </a:ext>
                <a:ext uri="{FF2B5EF4-FFF2-40B4-BE49-F238E27FC236}">
                  <a16:creationId xmlns:a16="http://schemas.microsoft.com/office/drawing/2014/main" id="{00000000-0008-0000-1000-000001B409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0" i="0" u="none" strike="noStrike" baseline="0">
                  <a:solidFill>
                    <a:srgbClr val="000000"/>
                  </a:solidFill>
                  <a:latin typeface="Arial"/>
                  <a:cs typeface="Arial"/>
                </a:rPr>
                <a:t>Accueil</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523875</xdr:colOff>
          <xdr:row>3</xdr:row>
          <xdr:rowOff>66675</xdr:rowOff>
        </xdr:from>
        <xdr:to>
          <xdr:col>1</xdr:col>
          <xdr:colOff>1133475</xdr:colOff>
          <xdr:row>3</xdr:row>
          <xdr:rowOff>257175</xdr:rowOff>
        </xdr:to>
        <xdr:sp macro="" textlink="">
          <xdr:nvSpPr>
            <xdr:cNvPr id="203780" name="Drop Down 4" hidden="1">
              <a:extLst>
                <a:ext uri="{63B3BB69-23CF-44E3-9099-C40C66FF867C}">
                  <a14:compatExt spid="_x0000_s203780"/>
                </a:ext>
                <a:ext uri="{FF2B5EF4-FFF2-40B4-BE49-F238E27FC236}">
                  <a16:creationId xmlns:a16="http://schemas.microsoft.com/office/drawing/2014/main" id="{00000000-0008-0000-0100-000004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5</xdr:row>
          <xdr:rowOff>66675</xdr:rowOff>
        </xdr:from>
        <xdr:to>
          <xdr:col>1</xdr:col>
          <xdr:colOff>1143000</xdr:colOff>
          <xdr:row>5</xdr:row>
          <xdr:rowOff>266700</xdr:rowOff>
        </xdr:to>
        <xdr:sp macro="" textlink="">
          <xdr:nvSpPr>
            <xdr:cNvPr id="203781" name="Drop Down 5" hidden="1">
              <a:extLst>
                <a:ext uri="{63B3BB69-23CF-44E3-9099-C40C66FF867C}">
                  <a14:compatExt spid="_x0000_s203781"/>
                </a:ext>
                <a:ext uri="{FF2B5EF4-FFF2-40B4-BE49-F238E27FC236}">
                  <a16:creationId xmlns:a16="http://schemas.microsoft.com/office/drawing/2014/main" id="{00000000-0008-0000-0100-000005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7</xdr:row>
          <xdr:rowOff>76200</xdr:rowOff>
        </xdr:from>
        <xdr:to>
          <xdr:col>1</xdr:col>
          <xdr:colOff>1143000</xdr:colOff>
          <xdr:row>7</xdr:row>
          <xdr:rowOff>276225</xdr:rowOff>
        </xdr:to>
        <xdr:sp macro="" textlink="">
          <xdr:nvSpPr>
            <xdr:cNvPr id="203782" name="Drop Down 6" hidden="1">
              <a:extLst>
                <a:ext uri="{63B3BB69-23CF-44E3-9099-C40C66FF867C}">
                  <a14:compatExt spid="_x0000_s203782"/>
                </a:ext>
                <a:ext uri="{FF2B5EF4-FFF2-40B4-BE49-F238E27FC236}">
                  <a16:creationId xmlns:a16="http://schemas.microsoft.com/office/drawing/2014/main" id="{00000000-0008-0000-0100-000006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xdr:row>
          <xdr:rowOff>104775</xdr:rowOff>
        </xdr:from>
        <xdr:to>
          <xdr:col>3</xdr:col>
          <xdr:colOff>457200</xdr:colOff>
          <xdr:row>5</xdr:row>
          <xdr:rowOff>304800</xdr:rowOff>
        </xdr:to>
        <xdr:sp macro="" textlink="">
          <xdr:nvSpPr>
            <xdr:cNvPr id="203783" name="Drop Down 7" hidden="1">
              <a:extLst>
                <a:ext uri="{63B3BB69-23CF-44E3-9099-C40C66FF867C}">
                  <a14:compatExt spid="_x0000_s203783"/>
                </a:ext>
                <a:ext uri="{FF2B5EF4-FFF2-40B4-BE49-F238E27FC236}">
                  <a16:creationId xmlns:a16="http://schemas.microsoft.com/office/drawing/2014/main" id="{00000000-0008-0000-0100-000007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xdr:row>
          <xdr:rowOff>85725</xdr:rowOff>
        </xdr:from>
        <xdr:to>
          <xdr:col>3</xdr:col>
          <xdr:colOff>876300</xdr:colOff>
          <xdr:row>7</xdr:row>
          <xdr:rowOff>295275</xdr:rowOff>
        </xdr:to>
        <xdr:sp macro="" textlink="">
          <xdr:nvSpPr>
            <xdr:cNvPr id="203784" name="Drop Down 8" hidden="1">
              <a:extLst>
                <a:ext uri="{63B3BB69-23CF-44E3-9099-C40C66FF867C}">
                  <a14:compatExt spid="_x0000_s203784"/>
                </a:ext>
                <a:ext uri="{FF2B5EF4-FFF2-40B4-BE49-F238E27FC236}">
                  <a16:creationId xmlns:a16="http://schemas.microsoft.com/office/drawing/2014/main" id="{00000000-0008-0000-0100-000008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104775</xdr:rowOff>
        </xdr:from>
        <xdr:to>
          <xdr:col>3</xdr:col>
          <xdr:colOff>1057275</xdr:colOff>
          <xdr:row>10</xdr:row>
          <xdr:rowOff>304800</xdr:rowOff>
        </xdr:to>
        <xdr:sp macro="" textlink="">
          <xdr:nvSpPr>
            <xdr:cNvPr id="203785" name="Drop Down 9" hidden="1">
              <a:extLst>
                <a:ext uri="{63B3BB69-23CF-44E3-9099-C40C66FF867C}">
                  <a14:compatExt spid="_x0000_s203785"/>
                </a:ext>
                <a:ext uri="{FF2B5EF4-FFF2-40B4-BE49-F238E27FC236}">
                  <a16:creationId xmlns:a16="http://schemas.microsoft.com/office/drawing/2014/main" id="{00000000-0008-0000-0100-000009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xdr:row>
          <xdr:rowOff>104775</xdr:rowOff>
        </xdr:from>
        <xdr:to>
          <xdr:col>5</xdr:col>
          <xdr:colOff>1019175</xdr:colOff>
          <xdr:row>10</xdr:row>
          <xdr:rowOff>314325</xdr:rowOff>
        </xdr:to>
        <xdr:sp macro="" textlink="">
          <xdr:nvSpPr>
            <xdr:cNvPr id="203786" name="Drop Down 10" hidden="1">
              <a:extLst>
                <a:ext uri="{63B3BB69-23CF-44E3-9099-C40C66FF867C}">
                  <a14:compatExt spid="_x0000_s203786"/>
                </a:ext>
                <a:ext uri="{FF2B5EF4-FFF2-40B4-BE49-F238E27FC236}">
                  <a16:creationId xmlns:a16="http://schemas.microsoft.com/office/drawing/2014/main" id="{00000000-0008-0000-0100-00000A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257175</xdr:rowOff>
        </xdr:from>
        <xdr:to>
          <xdr:col>5</xdr:col>
          <xdr:colOff>1000125</xdr:colOff>
          <xdr:row>12</xdr:row>
          <xdr:rowOff>104775</xdr:rowOff>
        </xdr:to>
        <xdr:sp macro="" textlink="">
          <xdr:nvSpPr>
            <xdr:cNvPr id="203787" name="Drop Down 11" hidden="1">
              <a:extLst>
                <a:ext uri="{63B3BB69-23CF-44E3-9099-C40C66FF867C}">
                  <a14:compatExt spid="_x0000_s203787"/>
                </a:ext>
                <a:ext uri="{FF2B5EF4-FFF2-40B4-BE49-F238E27FC236}">
                  <a16:creationId xmlns:a16="http://schemas.microsoft.com/office/drawing/2014/main" id="{00000000-0008-0000-0100-00000B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10</xdr:row>
          <xdr:rowOff>104775</xdr:rowOff>
        </xdr:from>
        <xdr:to>
          <xdr:col>1</xdr:col>
          <xdr:colOff>1152525</xdr:colOff>
          <xdr:row>10</xdr:row>
          <xdr:rowOff>304800</xdr:rowOff>
        </xdr:to>
        <xdr:sp macro="" textlink="">
          <xdr:nvSpPr>
            <xdr:cNvPr id="203788" name="Drop Down 12" hidden="1">
              <a:extLst>
                <a:ext uri="{63B3BB69-23CF-44E3-9099-C40C66FF867C}">
                  <a14:compatExt spid="_x0000_s203788"/>
                </a:ext>
                <a:ext uri="{FF2B5EF4-FFF2-40B4-BE49-F238E27FC236}">
                  <a16:creationId xmlns:a16="http://schemas.microsoft.com/office/drawing/2014/main" id="{00000000-0008-0000-0100-00000C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123825</xdr:rowOff>
        </xdr:from>
        <xdr:to>
          <xdr:col>3</xdr:col>
          <xdr:colOff>523875</xdr:colOff>
          <xdr:row>16</xdr:row>
          <xdr:rowOff>333375</xdr:rowOff>
        </xdr:to>
        <xdr:sp macro="" textlink="">
          <xdr:nvSpPr>
            <xdr:cNvPr id="203789" name="Drop Down 13" hidden="1">
              <a:extLst>
                <a:ext uri="{63B3BB69-23CF-44E3-9099-C40C66FF867C}">
                  <a14:compatExt spid="_x0000_s203789"/>
                </a:ext>
                <a:ext uri="{FF2B5EF4-FFF2-40B4-BE49-F238E27FC236}">
                  <a16:creationId xmlns:a16="http://schemas.microsoft.com/office/drawing/2014/main" id="{00000000-0008-0000-0100-00000D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1181100</xdr:colOff>
          <xdr:row>16</xdr:row>
          <xdr:rowOff>104775</xdr:rowOff>
        </xdr:from>
        <xdr:to>
          <xdr:col>5</xdr:col>
          <xdr:colOff>409575</xdr:colOff>
          <xdr:row>16</xdr:row>
          <xdr:rowOff>304800</xdr:rowOff>
        </xdr:to>
        <xdr:sp macro="" textlink="">
          <xdr:nvSpPr>
            <xdr:cNvPr id="203790" name="Drop Down 14" hidden="1">
              <a:extLst>
                <a:ext uri="{63B3BB69-23CF-44E3-9099-C40C66FF867C}">
                  <a14:compatExt spid="_x0000_s203790"/>
                </a:ext>
                <a:ext uri="{FF2B5EF4-FFF2-40B4-BE49-F238E27FC236}">
                  <a16:creationId xmlns:a16="http://schemas.microsoft.com/office/drawing/2014/main" id="{00000000-0008-0000-0100-00000E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19</xdr:row>
          <xdr:rowOff>66675</xdr:rowOff>
        </xdr:from>
        <xdr:to>
          <xdr:col>1</xdr:col>
          <xdr:colOff>533400</xdr:colOff>
          <xdr:row>19</xdr:row>
          <xdr:rowOff>266700</xdr:rowOff>
        </xdr:to>
        <xdr:sp macro="" textlink="">
          <xdr:nvSpPr>
            <xdr:cNvPr id="203791" name="Drop Down 15" hidden="1">
              <a:extLst>
                <a:ext uri="{63B3BB69-23CF-44E3-9099-C40C66FF867C}">
                  <a14:compatExt spid="_x0000_s203791"/>
                </a:ext>
                <a:ext uri="{FF2B5EF4-FFF2-40B4-BE49-F238E27FC236}">
                  <a16:creationId xmlns:a16="http://schemas.microsoft.com/office/drawing/2014/main" id="{00000000-0008-0000-0100-00000F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20</xdr:row>
          <xdr:rowOff>66675</xdr:rowOff>
        </xdr:from>
        <xdr:to>
          <xdr:col>1</xdr:col>
          <xdr:colOff>533400</xdr:colOff>
          <xdr:row>20</xdr:row>
          <xdr:rowOff>266700</xdr:rowOff>
        </xdr:to>
        <xdr:sp macro="" textlink="">
          <xdr:nvSpPr>
            <xdr:cNvPr id="203792" name="Drop Down 16" hidden="1">
              <a:extLst>
                <a:ext uri="{63B3BB69-23CF-44E3-9099-C40C66FF867C}">
                  <a14:compatExt spid="_x0000_s203792"/>
                </a:ext>
                <a:ext uri="{FF2B5EF4-FFF2-40B4-BE49-F238E27FC236}">
                  <a16:creationId xmlns:a16="http://schemas.microsoft.com/office/drawing/2014/main" id="{00000000-0008-0000-0100-000010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21</xdr:row>
          <xdr:rowOff>66675</xdr:rowOff>
        </xdr:from>
        <xdr:to>
          <xdr:col>1</xdr:col>
          <xdr:colOff>533400</xdr:colOff>
          <xdr:row>21</xdr:row>
          <xdr:rowOff>266700</xdr:rowOff>
        </xdr:to>
        <xdr:sp macro="" textlink="">
          <xdr:nvSpPr>
            <xdr:cNvPr id="203793" name="Drop Down 17" hidden="1">
              <a:extLst>
                <a:ext uri="{63B3BB69-23CF-44E3-9099-C40C66FF867C}">
                  <a14:compatExt spid="_x0000_s203793"/>
                </a:ext>
                <a:ext uri="{FF2B5EF4-FFF2-40B4-BE49-F238E27FC236}">
                  <a16:creationId xmlns:a16="http://schemas.microsoft.com/office/drawing/2014/main" id="{00000000-0008-0000-0100-000011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85725</xdr:rowOff>
        </xdr:from>
        <xdr:to>
          <xdr:col>2</xdr:col>
          <xdr:colOff>1095375</xdr:colOff>
          <xdr:row>19</xdr:row>
          <xdr:rowOff>295275</xdr:rowOff>
        </xdr:to>
        <xdr:sp macro="" textlink="">
          <xdr:nvSpPr>
            <xdr:cNvPr id="203794" name="Drop Down 18" hidden="1">
              <a:extLst>
                <a:ext uri="{63B3BB69-23CF-44E3-9099-C40C66FF867C}">
                  <a14:compatExt spid="_x0000_s203794"/>
                </a:ext>
                <a:ext uri="{FF2B5EF4-FFF2-40B4-BE49-F238E27FC236}">
                  <a16:creationId xmlns:a16="http://schemas.microsoft.com/office/drawing/2014/main" id="{00000000-0008-0000-0100-000012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85725</xdr:rowOff>
        </xdr:from>
        <xdr:to>
          <xdr:col>2</xdr:col>
          <xdr:colOff>1095375</xdr:colOff>
          <xdr:row>20</xdr:row>
          <xdr:rowOff>295275</xdr:rowOff>
        </xdr:to>
        <xdr:sp macro="" textlink="">
          <xdr:nvSpPr>
            <xdr:cNvPr id="203795" name="Drop Down 19" hidden="1">
              <a:extLst>
                <a:ext uri="{63B3BB69-23CF-44E3-9099-C40C66FF867C}">
                  <a14:compatExt spid="_x0000_s203795"/>
                </a:ext>
                <a:ext uri="{FF2B5EF4-FFF2-40B4-BE49-F238E27FC236}">
                  <a16:creationId xmlns:a16="http://schemas.microsoft.com/office/drawing/2014/main" id="{00000000-0008-0000-0100-000013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85725</xdr:rowOff>
        </xdr:from>
        <xdr:to>
          <xdr:col>2</xdr:col>
          <xdr:colOff>1095375</xdr:colOff>
          <xdr:row>21</xdr:row>
          <xdr:rowOff>295275</xdr:rowOff>
        </xdr:to>
        <xdr:sp macro="" textlink="">
          <xdr:nvSpPr>
            <xdr:cNvPr id="203796" name="Drop Down 20" hidden="1">
              <a:extLst>
                <a:ext uri="{63B3BB69-23CF-44E3-9099-C40C66FF867C}">
                  <a14:compatExt spid="_x0000_s203796"/>
                </a:ext>
                <a:ext uri="{FF2B5EF4-FFF2-40B4-BE49-F238E27FC236}">
                  <a16:creationId xmlns:a16="http://schemas.microsoft.com/office/drawing/2014/main" id="{00000000-0008-0000-0100-000014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104775</xdr:rowOff>
        </xdr:from>
        <xdr:to>
          <xdr:col>3</xdr:col>
          <xdr:colOff>485775</xdr:colOff>
          <xdr:row>19</xdr:row>
          <xdr:rowOff>295275</xdr:rowOff>
        </xdr:to>
        <xdr:sp macro="" textlink="">
          <xdr:nvSpPr>
            <xdr:cNvPr id="203797" name="Drop Down 21" hidden="1">
              <a:extLst>
                <a:ext uri="{63B3BB69-23CF-44E3-9099-C40C66FF867C}">
                  <a14:compatExt spid="_x0000_s203797"/>
                </a:ext>
                <a:ext uri="{FF2B5EF4-FFF2-40B4-BE49-F238E27FC236}">
                  <a16:creationId xmlns:a16="http://schemas.microsoft.com/office/drawing/2014/main" id="{00000000-0008-0000-0100-000015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3</xdr:col>
          <xdr:colOff>495300</xdr:colOff>
          <xdr:row>20</xdr:row>
          <xdr:rowOff>276225</xdr:rowOff>
        </xdr:to>
        <xdr:sp macro="" textlink="">
          <xdr:nvSpPr>
            <xdr:cNvPr id="203798" name="Drop Down 22" hidden="1">
              <a:extLst>
                <a:ext uri="{63B3BB69-23CF-44E3-9099-C40C66FF867C}">
                  <a14:compatExt spid="_x0000_s203798"/>
                </a:ext>
                <a:ext uri="{FF2B5EF4-FFF2-40B4-BE49-F238E27FC236}">
                  <a16:creationId xmlns:a16="http://schemas.microsoft.com/office/drawing/2014/main" id="{00000000-0008-0000-0100-000016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85725</xdr:rowOff>
        </xdr:from>
        <xdr:to>
          <xdr:col>3</xdr:col>
          <xdr:colOff>504825</xdr:colOff>
          <xdr:row>21</xdr:row>
          <xdr:rowOff>295275</xdr:rowOff>
        </xdr:to>
        <xdr:sp macro="" textlink="">
          <xdr:nvSpPr>
            <xdr:cNvPr id="203799" name="Drop Down 23" hidden="1">
              <a:extLst>
                <a:ext uri="{63B3BB69-23CF-44E3-9099-C40C66FF867C}">
                  <a14:compatExt spid="_x0000_s203799"/>
                </a:ext>
                <a:ext uri="{FF2B5EF4-FFF2-40B4-BE49-F238E27FC236}">
                  <a16:creationId xmlns:a16="http://schemas.microsoft.com/office/drawing/2014/main" id="{00000000-0008-0000-0100-000017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23</xdr:row>
          <xdr:rowOff>66675</xdr:rowOff>
        </xdr:from>
        <xdr:to>
          <xdr:col>1</xdr:col>
          <xdr:colOff>533400</xdr:colOff>
          <xdr:row>23</xdr:row>
          <xdr:rowOff>266700</xdr:rowOff>
        </xdr:to>
        <xdr:sp macro="" textlink="">
          <xdr:nvSpPr>
            <xdr:cNvPr id="203800" name="Drop Down 24" hidden="1">
              <a:extLst>
                <a:ext uri="{63B3BB69-23CF-44E3-9099-C40C66FF867C}">
                  <a14:compatExt spid="_x0000_s203800"/>
                </a:ext>
                <a:ext uri="{FF2B5EF4-FFF2-40B4-BE49-F238E27FC236}">
                  <a16:creationId xmlns:a16="http://schemas.microsoft.com/office/drawing/2014/main" id="{00000000-0008-0000-0100-000018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85725</xdr:rowOff>
        </xdr:from>
        <xdr:to>
          <xdr:col>2</xdr:col>
          <xdr:colOff>1095375</xdr:colOff>
          <xdr:row>23</xdr:row>
          <xdr:rowOff>295275</xdr:rowOff>
        </xdr:to>
        <xdr:sp macro="" textlink="">
          <xdr:nvSpPr>
            <xdr:cNvPr id="203801" name="Drop Down 25" hidden="1">
              <a:extLst>
                <a:ext uri="{63B3BB69-23CF-44E3-9099-C40C66FF867C}">
                  <a14:compatExt spid="_x0000_s203801"/>
                </a:ext>
                <a:ext uri="{FF2B5EF4-FFF2-40B4-BE49-F238E27FC236}">
                  <a16:creationId xmlns:a16="http://schemas.microsoft.com/office/drawing/2014/main" id="{00000000-0008-0000-0100-000019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104775</xdr:rowOff>
        </xdr:from>
        <xdr:to>
          <xdr:col>3</xdr:col>
          <xdr:colOff>485775</xdr:colOff>
          <xdr:row>23</xdr:row>
          <xdr:rowOff>295275</xdr:rowOff>
        </xdr:to>
        <xdr:sp macro="" textlink="">
          <xdr:nvSpPr>
            <xdr:cNvPr id="203802" name="Drop Down 26" hidden="1">
              <a:extLst>
                <a:ext uri="{63B3BB69-23CF-44E3-9099-C40C66FF867C}">
                  <a14:compatExt spid="_x0000_s203802"/>
                </a:ext>
                <a:ext uri="{FF2B5EF4-FFF2-40B4-BE49-F238E27FC236}">
                  <a16:creationId xmlns:a16="http://schemas.microsoft.com/office/drawing/2014/main" id="{00000000-0008-0000-0100-00001A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904875</xdr:colOff>
          <xdr:row>7</xdr:row>
          <xdr:rowOff>66675</xdr:rowOff>
        </xdr:from>
        <xdr:to>
          <xdr:col>4</xdr:col>
          <xdr:colOff>1152525</xdr:colOff>
          <xdr:row>7</xdr:row>
          <xdr:rowOff>314325</xdr:rowOff>
        </xdr:to>
        <xdr:sp macro="" textlink="">
          <xdr:nvSpPr>
            <xdr:cNvPr id="203805" name="Spinner 29" hidden="1">
              <a:extLst>
                <a:ext uri="{63B3BB69-23CF-44E3-9099-C40C66FF867C}">
                  <a14:compatExt spid="_x0000_s203805"/>
                </a:ext>
                <a:ext uri="{FF2B5EF4-FFF2-40B4-BE49-F238E27FC236}">
                  <a16:creationId xmlns:a16="http://schemas.microsoft.com/office/drawing/2014/main" id="{00000000-0008-0000-0100-00001D1C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990600</xdr:colOff>
          <xdr:row>7</xdr:row>
          <xdr:rowOff>76200</xdr:rowOff>
        </xdr:from>
        <xdr:to>
          <xdr:col>5</xdr:col>
          <xdr:colOff>1247775</xdr:colOff>
          <xdr:row>7</xdr:row>
          <xdr:rowOff>333375</xdr:rowOff>
        </xdr:to>
        <xdr:sp macro="" textlink="">
          <xdr:nvSpPr>
            <xdr:cNvPr id="203806" name="Spinner 30" hidden="1">
              <a:extLst>
                <a:ext uri="{63B3BB69-23CF-44E3-9099-C40C66FF867C}">
                  <a14:compatExt spid="_x0000_s203806"/>
                </a:ext>
                <a:ext uri="{FF2B5EF4-FFF2-40B4-BE49-F238E27FC236}">
                  <a16:creationId xmlns:a16="http://schemas.microsoft.com/office/drawing/2014/main" id="{00000000-0008-0000-0100-00001E1C03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333375</xdr:colOff>
          <xdr:row>20</xdr:row>
          <xdr:rowOff>266700</xdr:rowOff>
        </xdr:from>
        <xdr:to>
          <xdr:col>7</xdr:col>
          <xdr:colOff>304800</xdr:colOff>
          <xdr:row>21</xdr:row>
          <xdr:rowOff>342900</xdr:rowOff>
        </xdr:to>
        <xdr:sp macro="" textlink="">
          <xdr:nvSpPr>
            <xdr:cNvPr id="203807" name="Button 31" hidden="1">
              <a:extLst>
                <a:ext uri="{63B3BB69-23CF-44E3-9099-C40C66FF867C}">
                  <a14:compatExt spid="_x0000_s203807"/>
                </a:ext>
                <a:ext uri="{FF2B5EF4-FFF2-40B4-BE49-F238E27FC236}">
                  <a16:creationId xmlns:a16="http://schemas.microsoft.com/office/drawing/2014/main" id="{00000000-0008-0000-0100-00001F1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1"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276225</xdr:colOff>
          <xdr:row>4</xdr:row>
          <xdr:rowOff>9525</xdr:rowOff>
        </xdr:from>
        <xdr:to>
          <xdr:col>7</xdr:col>
          <xdr:colOff>161925</xdr:colOff>
          <xdr:row>5</xdr:row>
          <xdr:rowOff>304800</xdr:rowOff>
        </xdr:to>
        <xdr:sp macro="" textlink="">
          <xdr:nvSpPr>
            <xdr:cNvPr id="203808" name="Button 32" hidden="1">
              <a:extLst>
                <a:ext uri="{63B3BB69-23CF-44E3-9099-C40C66FF867C}">
                  <a14:compatExt spid="_x0000_s203808"/>
                </a:ext>
                <a:ext uri="{FF2B5EF4-FFF2-40B4-BE49-F238E27FC236}">
                  <a16:creationId xmlns:a16="http://schemas.microsoft.com/office/drawing/2014/main" id="{00000000-0008-0000-0100-0000201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1"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200025</xdr:rowOff>
        </xdr:from>
        <xdr:to>
          <xdr:col>4</xdr:col>
          <xdr:colOff>1028700</xdr:colOff>
          <xdr:row>27</xdr:row>
          <xdr:rowOff>180975</xdr:rowOff>
        </xdr:to>
        <xdr:sp macro="" textlink="">
          <xdr:nvSpPr>
            <xdr:cNvPr id="203809" name="Drop Down 33" hidden="1">
              <a:extLst>
                <a:ext uri="{63B3BB69-23CF-44E3-9099-C40C66FF867C}">
                  <a14:compatExt spid="_x0000_s203809"/>
                </a:ext>
                <a:ext uri="{FF2B5EF4-FFF2-40B4-BE49-F238E27FC236}">
                  <a16:creationId xmlns:a16="http://schemas.microsoft.com/office/drawing/2014/main" id="{00000000-0008-0000-0100-000021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45</xdr:row>
          <xdr:rowOff>0</xdr:rowOff>
        </xdr:from>
        <xdr:to>
          <xdr:col>4</xdr:col>
          <xdr:colOff>1038225</xdr:colOff>
          <xdr:row>46</xdr:row>
          <xdr:rowOff>0</xdr:rowOff>
        </xdr:to>
        <xdr:sp macro="" textlink="">
          <xdr:nvSpPr>
            <xdr:cNvPr id="203810" name="Drop Down 34" hidden="1">
              <a:extLst>
                <a:ext uri="{63B3BB69-23CF-44E3-9099-C40C66FF867C}">
                  <a14:compatExt spid="_x0000_s203810"/>
                </a:ext>
                <a:ext uri="{FF2B5EF4-FFF2-40B4-BE49-F238E27FC236}">
                  <a16:creationId xmlns:a16="http://schemas.microsoft.com/office/drawing/2014/main" id="{00000000-0008-0000-0100-000022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27</xdr:row>
          <xdr:rowOff>0</xdr:rowOff>
        </xdr:from>
        <xdr:to>
          <xdr:col>8</xdr:col>
          <xdr:colOff>1028700</xdr:colOff>
          <xdr:row>28</xdr:row>
          <xdr:rowOff>0</xdr:rowOff>
        </xdr:to>
        <xdr:sp macro="" textlink="">
          <xdr:nvSpPr>
            <xdr:cNvPr id="203811" name="Drop Down 35" hidden="1">
              <a:extLst>
                <a:ext uri="{63B3BB69-23CF-44E3-9099-C40C66FF867C}">
                  <a14:compatExt spid="_x0000_s203811"/>
                </a:ext>
                <a:ext uri="{FF2B5EF4-FFF2-40B4-BE49-F238E27FC236}">
                  <a16:creationId xmlns:a16="http://schemas.microsoft.com/office/drawing/2014/main" id="{00000000-0008-0000-0100-000023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33</xdr:row>
          <xdr:rowOff>0</xdr:rowOff>
        </xdr:from>
        <xdr:to>
          <xdr:col>4</xdr:col>
          <xdr:colOff>1028700</xdr:colOff>
          <xdr:row>34</xdr:row>
          <xdr:rowOff>0</xdr:rowOff>
        </xdr:to>
        <xdr:sp macro="" textlink="">
          <xdr:nvSpPr>
            <xdr:cNvPr id="203812" name="Drop Down 36" hidden="1">
              <a:extLst>
                <a:ext uri="{63B3BB69-23CF-44E3-9099-C40C66FF867C}">
                  <a14:compatExt spid="_x0000_s203812"/>
                </a:ext>
                <a:ext uri="{FF2B5EF4-FFF2-40B4-BE49-F238E27FC236}">
                  <a16:creationId xmlns:a16="http://schemas.microsoft.com/office/drawing/2014/main" id="{00000000-0008-0000-0100-000024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0</xdr:rowOff>
        </xdr:from>
        <xdr:to>
          <xdr:col>8</xdr:col>
          <xdr:colOff>1028700</xdr:colOff>
          <xdr:row>34</xdr:row>
          <xdr:rowOff>0</xdr:rowOff>
        </xdr:to>
        <xdr:sp macro="" textlink="">
          <xdr:nvSpPr>
            <xdr:cNvPr id="203813" name="Drop Down 37" hidden="1">
              <a:extLst>
                <a:ext uri="{63B3BB69-23CF-44E3-9099-C40C66FF867C}">
                  <a14:compatExt spid="_x0000_s203813"/>
                </a:ext>
                <a:ext uri="{FF2B5EF4-FFF2-40B4-BE49-F238E27FC236}">
                  <a16:creationId xmlns:a16="http://schemas.microsoft.com/office/drawing/2014/main" id="{00000000-0008-0000-0100-000025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39</xdr:row>
          <xdr:rowOff>0</xdr:rowOff>
        </xdr:from>
        <xdr:to>
          <xdr:col>8</xdr:col>
          <xdr:colOff>1028700</xdr:colOff>
          <xdr:row>40</xdr:row>
          <xdr:rowOff>0</xdr:rowOff>
        </xdr:to>
        <xdr:sp macro="" textlink="">
          <xdr:nvSpPr>
            <xdr:cNvPr id="203814" name="Drop Down 38" hidden="1">
              <a:extLst>
                <a:ext uri="{63B3BB69-23CF-44E3-9099-C40C66FF867C}">
                  <a14:compatExt spid="_x0000_s203814"/>
                </a:ext>
                <a:ext uri="{FF2B5EF4-FFF2-40B4-BE49-F238E27FC236}">
                  <a16:creationId xmlns:a16="http://schemas.microsoft.com/office/drawing/2014/main" id="{00000000-0008-0000-0100-000026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39</xdr:row>
          <xdr:rowOff>0</xdr:rowOff>
        </xdr:from>
        <xdr:to>
          <xdr:col>4</xdr:col>
          <xdr:colOff>1028700</xdr:colOff>
          <xdr:row>40</xdr:row>
          <xdr:rowOff>0</xdr:rowOff>
        </xdr:to>
        <xdr:sp macro="" textlink="">
          <xdr:nvSpPr>
            <xdr:cNvPr id="203815" name="Drop Down 39" hidden="1">
              <a:extLst>
                <a:ext uri="{63B3BB69-23CF-44E3-9099-C40C66FF867C}">
                  <a14:compatExt spid="_x0000_s203815"/>
                </a:ext>
                <a:ext uri="{FF2B5EF4-FFF2-40B4-BE49-F238E27FC236}">
                  <a16:creationId xmlns:a16="http://schemas.microsoft.com/office/drawing/2014/main" id="{00000000-0008-0000-0100-000027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48</xdr:row>
          <xdr:rowOff>0</xdr:rowOff>
        </xdr:from>
        <xdr:to>
          <xdr:col>4</xdr:col>
          <xdr:colOff>1028700</xdr:colOff>
          <xdr:row>49</xdr:row>
          <xdr:rowOff>0</xdr:rowOff>
        </xdr:to>
        <xdr:sp macro="" textlink="">
          <xdr:nvSpPr>
            <xdr:cNvPr id="203816" name="Drop Down 40" hidden="1">
              <a:extLst>
                <a:ext uri="{63B3BB69-23CF-44E3-9099-C40C66FF867C}">
                  <a14:compatExt spid="_x0000_s203816"/>
                </a:ext>
                <a:ext uri="{FF2B5EF4-FFF2-40B4-BE49-F238E27FC236}">
                  <a16:creationId xmlns:a16="http://schemas.microsoft.com/office/drawing/2014/main" id="{00000000-0008-0000-0100-000028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51</xdr:row>
          <xdr:rowOff>0</xdr:rowOff>
        </xdr:from>
        <xdr:to>
          <xdr:col>4</xdr:col>
          <xdr:colOff>1028700</xdr:colOff>
          <xdr:row>52</xdr:row>
          <xdr:rowOff>0</xdr:rowOff>
        </xdr:to>
        <xdr:sp macro="" textlink="">
          <xdr:nvSpPr>
            <xdr:cNvPr id="203817" name="Drop Down 41" hidden="1">
              <a:extLst>
                <a:ext uri="{63B3BB69-23CF-44E3-9099-C40C66FF867C}">
                  <a14:compatExt spid="_x0000_s203817"/>
                </a:ext>
                <a:ext uri="{FF2B5EF4-FFF2-40B4-BE49-F238E27FC236}">
                  <a16:creationId xmlns:a16="http://schemas.microsoft.com/office/drawing/2014/main" id="{00000000-0008-0000-0100-000029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53</xdr:row>
          <xdr:rowOff>200025</xdr:rowOff>
        </xdr:from>
        <xdr:to>
          <xdr:col>4</xdr:col>
          <xdr:colOff>1028700</xdr:colOff>
          <xdr:row>55</xdr:row>
          <xdr:rowOff>0</xdr:rowOff>
        </xdr:to>
        <xdr:sp macro="" textlink="">
          <xdr:nvSpPr>
            <xdr:cNvPr id="203818" name="Drop Down 42" hidden="1">
              <a:extLst>
                <a:ext uri="{63B3BB69-23CF-44E3-9099-C40C66FF867C}">
                  <a14:compatExt spid="_x0000_s203818"/>
                </a:ext>
                <a:ext uri="{FF2B5EF4-FFF2-40B4-BE49-F238E27FC236}">
                  <a16:creationId xmlns:a16="http://schemas.microsoft.com/office/drawing/2014/main" id="{00000000-0008-0000-0100-00002A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57</xdr:row>
          <xdr:rowOff>0</xdr:rowOff>
        </xdr:from>
        <xdr:to>
          <xdr:col>4</xdr:col>
          <xdr:colOff>1028700</xdr:colOff>
          <xdr:row>58</xdr:row>
          <xdr:rowOff>0</xdr:rowOff>
        </xdr:to>
        <xdr:sp macro="" textlink="">
          <xdr:nvSpPr>
            <xdr:cNvPr id="203819" name="Drop Down 43" hidden="1">
              <a:extLst>
                <a:ext uri="{63B3BB69-23CF-44E3-9099-C40C66FF867C}">
                  <a14:compatExt spid="_x0000_s203819"/>
                </a:ext>
                <a:ext uri="{FF2B5EF4-FFF2-40B4-BE49-F238E27FC236}">
                  <a16:creationId xmlns:a16="http://schemas.microsoft.com/office/drawing/2014/main" id="{00000000-0008-0000-0100-00002B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60</xdr:row>
          <xdr:rowOff>0</xdr:rowOff>
        </xdr:from>
        <xdr:to>
          <xdr:col>4</xdr:col>
          <xdr:colOff>1028700</xdr:colOff>
          <xdr:row>61</xdr:row>
          <xdr:rowOff>0</xdr:rowOff>
        </xdr:to>
        <xdr:sp macro="" textlink="">
          <xdr:nvSpPr>
            <xdr:cNvPr id="203820" name="Drop Down 44" hidden="1">
              <a:extLst>
                <a:ext uri="{63B3BB69-23CF-44E3-9099-C40C66FF867C}">
                  <a14:compatExt spid="_x0000_s203820"/>
                </a:ext>
                <a:ext uri="{FF2B5EF4-FFF2-40B4-BE49-F238E27FC236}">
                  <a16:creationId xmlns:a16="http://schemas.microsoft.com/office/drawing/2014/main" id="{00000000-0008-0000-0100-00002C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45</xdr:row>
          <xdr:rowOff>0</xdr:rowOff>
        </xdr:from>
        <xdr:to>
          <xdr:col>8</xdr:col>
          <xdr:colOff>1028700</xdr:colOff>
          <xdr:row>46</xdr:row>
          <xdr:rowOff>0</xdr:rowOff>
        </xdr:to>
        <xdr:sp macro="" textlink="">
          <xdr:nvSpPr>
            <xdr:cNvPr id="203821" name="Drop Down 45" hidden="1">
              <a:extLst>
                <a:ext uri="{63B3BB69-23CF-44E3-9099-C40C66FF867C}">
                  <a14:compatExt spid="_x0000_s203821"/>
                </a:ext>
                <a:ext uri="{FF2B5EF4-FFF2-40B4-BE49-F238E27FC236}">
                  <a16:creationId xmlns:a16="http://schemas.microsoft.com/office/drawing/2014/main" id="{00000000-0008-0000-0100-00002D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48</xdr:row>
          <xdr:rowOff>0</xdr:rowOff>
        </xdr:from>
        <xdr:to>
          <xdr:col>8</xdr:col>
          <xdr:colOff>1028700</xdr:colOff>
          <xdr:row>49</xdr:row>
          <xdr:rowOff>0</xdr:rowOff>
        </xdr:to>
        <xdr:sp macro="" textlink="">
          <xdr:nvSpPr>
            <xdr:cNvPr id="203822" name="Drop Down 46" hidden="1">
              <a:extLst>
                <a:ext uri="{63B3BB69-23CF-44E3-9099-C40C66FF867C}">
                  <a14:compatExt spid="_x0000_s203822"/>
                </a:ext>
                <a:ext uri="{FF2B5EF4-FFF2-40B4-BE49-F238E27FC236}">
                  <a16:creationId xmlns:a16="http://schemas.microsoft.com/office/drawing/2014/main" id="{00000000-0008-0000-0100-00002E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51</xdr:row>
          <xdr:rowOff>0</xdr:rowOff>
        </xdr:from>
        <xdr:to>
          <xdr:col>8</xdr:col>
          <xdr:colOff>1028700</xdr:colOff>
          <xdr:row>52</xdr:row>
          <xdr:rowOff>0</xdr:rowOff>
        </xdr:to>
        <xdr:sp macro="" textlink="">
          <xdr:nvSpPr>
            <xdr:cNvPr id="203823" name="Drop Down 47" hidden="1">
              <a:extLst>
                <a:ext uri="{63B3BB69-23CF-44E3-9099-C40C66FF867C}">
                  <a14:compatExt spid="_x0000_s203823"/>
                </a:ext>
                <a:ext uri="{FF2B5EF4-FFF2-40B4-BE49-F238E27FC236}">
                  <a16:creationId xmlns:a16="http://schemas.microsoft.com/office/drawing/2014/main" id="{00000000-0008-0000-0100-00002F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53</xdr:row>
          <xdr:rowOff>200025</xdr:rowOff>
        </xdr:from>
        <xdr:to>
          <xdr:col>8</xdr:col>
          <xdr:colOff>1028700</xdr:colOff>
          <xdr:row>55</xdr:row>
          <xdr:rowOff>0</xdr:rowOff>
        </xdr:to>
        <xdr:sp macro="" textlink="">
          <xdr:nvSpPr>
            <xdr:cNvPr id="203824" name="Drop Down 48" hidden="1">
              <a:extLst>
                <a:ext uri="{63B3BB69-23CF-44E3-9099-C40C66FF867C}">
                  <a14:compatExt spid="_x0000_s203824"/>
                </a:ext>
                <a:ext uri="{FF2B5EF4-FFF2-40B4-BE49-F238E27FC236}">
                  <a16:creationId xmlns:a16="http://schemas.microsoft.com/office/drawing/2014/main" id="{00000000-0008-0000-0100-000030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57</xdr:row>
          <xdr:rowOff>0</xdr:rowOff>
        </xdr:from>
        <xdr:to>
          <xdr:col>8</xdr:col>
          <xdr:colOff>1028700</xdr:colOff>
          <xdr:row>58</xdr:row>
          <xdr:rowOff>0</xdr:rowOff>
        </xdr:to>
        <xdr:sp macro="" textlink="">
          <xdr:nvSpPr>
            <xdr:cNvPr id="203825" name="Drop Down 49" hidden="1">
              <a:extLst>
                <a:ext uri="{63B3BB69-23CF-44E3-9099-C40C66FF867C}">
                  <a14:compatExt spid="_x0000_s203825"/>
                </a:ext>
                <a:ext uri="{FF2B5EF4-FFF2-40B4-BE49-F238E27FC236}">
                  <a16:creationId xmlns:a16="http://schemas.microsoft.com/office/drawing/2014/main" id="{00000000-0008-0000-0100-000031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60</xdr:row>
          <xdr:rowOff>0</xdr:rowOff>
        </xdr:from>
        <xdr:to>
          <xdr:col>8</xdr:col>
          <xdr:colOff>1028700</xdr:colOff>
          <xdr:row>61</xdr:row>
          <xdr:rowOff>0</xdr:rowOff>
        </xdr:to>
        <xdr:sp macro="" textlink="">
          <xdr:nvSpPr>
            <xdr:cNvPr id="203826" name="Drop Down 50" hidden="1">
              <a:extLst>
                <a:ext uri="{63B3BB69-23CF-44E3-9099-C40C66FF867C}">
                  <a14:compatExt spid="_x0000_s203826"/>
                </a:ext>
                <a:ext uri="{FF2B5EF4-FFF2-40B4-BE49-F238E27FC236}">
                  <a16:creationId xmlns:a16="http://schemas.microsoft.com/office/drawing/2014/main" id="{00000000-0008-0000-0100-0000321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47</xdr:row>
          <xdr:rowOff>28575</xdr:rowOff>
        </xdr:from>
        <xdr:to>
          <xdr:col>0</xdr:col>
          <xdr:colOff>1057275</xdr:colOff>
          <xdr:row>50</xdr:row>
          <xdr:rowOff>9525</xdr:rowOff>
        </xdr:to>
        <xdr:sp macro="" textlink="">
          <xdr:nvSpPr>
            <xdr:cNvPr id="203827" name="Button 51" hidden="1">
              <a:extLst>
                <a:ext uri="{63B3BB69-23CF-44E3-9099-C40C66FF867C}">
                  <a14:compatExt spid="_x0000_s203827"/>
                </a:ext>
                <a:ext uri="{FF2B5EF4-FFF2-40B4-BE49-F238E27FC236}">
                  <a16:creationId xmlns:a16="http://schemas.microsoft.com/office/drawing/2014/main" id="{00000000-0008-0000-0100-0000331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1"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50</xdr:row>
          <xdr:rowOff>104775</xdr:rowOff>
        </xdr:from>
        <xdr:to>
          <xdr:col>0</xdr:col>
          <xdr:colOff>1057275</xdr:colOff>
          <xdr:row>53</xdr:row>
          <xdr:rowOff>104775</xdr:rowOff>
        </xdr:to>
        <xdr:sp macro="" textlink="">
          <xdr:nvSpPr>
            <xdr:cNvPr id="203828" name="Button 52" hidden="1">
              <a:extLst>
                <a:ext uri="{63B3BB69-23CF-44E3-9099-C40C66FF867C}">
                  <a14:compatExt spid="_x0000_s203828"/>
                </a:ext>
                <a:ext uri="{FF2B5EF4-FFF2-40B4-BE49-F238E27FC236}">
                  <a16:creationId xmlns:a16="http://schemas.microsoft.com/office/drawing/2014/main" id="{00000000-0008-0000-0100-0000341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1" i="0" u="none" strike="noStrike" baseline="0">
                  <a:solidFill>
                    <a:srgbClr val="FF0000"/>
                  </a:solidFill>
                  <a:latin typeface="Arial"/>
                  <a:cs typeface="Arial"/>
                </a:rPr>
                <a:t>Voir le Génogramme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333375</xdr:colOff>
          <xdr:row>72</xdr:row>
          <xdr:rowOff>104775</xdr:rowOff>
        </xdr:from>
        <xdr:to>
          <xdr:col>7</xdr:col>
          <xdr:colOff>304800</xdr:colOff>
          <xdr:row>75</xdr:row>
          <xdr:rowOff>76200</xdr:rowOff>
        </xdr:to>
        <xdr:sp macro="" textlink="">
          <xdr:nvSpPr>
            <xdr:cNvPr id="203830" name="Button 54" hidden="1">
              <a:extLst>
                <a:ext uri="{63B3BB69-23CF-44E3-9099-C40C66FF867C}">
                  <a14:compatExt spid="_x0000_s203830"/>
                </a:ext>
                <a:ext uri="{FF2B5EF4-FFF2-40B4-BE49-F238E27FC236}">
                  <a16:creationId xmlns:a16="http://schemas.microsoft.com/office/drawing/2014/main" id="{00000000-0008-0000-0100-0000361C03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000" b="1" i="0" u="none" strike="noStrike" baseline="0">
                  <a:solidFill>
                    <a:srgbClr val="FF0000"/>
                  </a:solidFill>
                  <a:latin typeface="Arial"/>
                  <a:cs typeface="Arial"/>
                </a:rPr>
                <a:t>Retour Accueil</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3</xdr:col>
      <xdr:colOff>19051</xdr:colOff>
      <xdr:row>3</xdr:row>
      <xdr:rowOff>0</xdr:rowOff>
    </xdr:from>
    <xdr:to>
      <xdr:col>21</xdr:col>
      <xdr:colOff>627063</xdr:colOff>
      <xdr:row>42</xdr:row>
      <xdr:rowOff>142875</xdr:rowOff>
    </xdr:to>
    <xdr:graphicFrame macro="">
      <xdr:nvGraphicFramePr>
        <xdr:cNvPr id="182305" name="Graphique 1">
          <a:extLst>
            <a:ext uri="{FF2B5EF4-FFF2-40B4-BE49-F238E27FC236}">
              <a16:creationId xmlns:a16="http://schemas.microsoft.com/office/drawing/2014/main" id="{00000000-0008-0000-1400-000021C8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626179</xdr:colOff>
      <xdr:row>0</xdr:row>
      <xdr:rowOff>61734</xdr:rowOff>
    </xdr:from>
    <xdr:to>
      <xdr:col>9</xdr:col>
      <xdr:colOff>7054</xdr:colOff>
      <xdr:row>2</xdr:row>
      <xdr:rowOff>149928</xdr:rowOff>
    </xdr:to>
    <xdr:sp macro="" textlink="">
      <xdr:nvSpPr>
        <xdr:cNvPr id="3" name="ZoneTexte 2">
          <a:extLst>
            <a:ext uri="{FF2B5EF4-FFF2-40B4-BE49-F238E27FC236}">
              <a16:creationId xmlns:a16="http://schemas.microsoft.com/office/drawing/2014/main" id="{00000000-0008-0000-1400-000003000000}"/>
            </a:ext>
          </a:extLst>
        </xdr:cNvPr>
        <xdr:cNvSpPr txBox="1"/>
      </xdr:nvSpPr>
      <xdr:spPr>
        <a:xfrm>
          <a:off x="2954512" y="61734"/>
          <a:ext cx="3667125" cy="855486"/>
        </a:xfrm>
        <a:prstGeom prst="rect">
          <a:avLst/>
        </a:prstGeom>
        <a:solidFill>
          <a:schemeClr val="accent6">
            <a:lumMod val="20000"/>
            <a:lumOff val="80000"/>
          </a:schemeClr>
        </a:solidFill>
        <a:ln w="9525" cmpd="thickThin">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CH" sz="1400"/>
            <a:t>Noter le nombre total de crises et de conduites de purges</a:t>
          </a:r>
          <a:r>
            <a:rPr lang="fr-CH" sz="1400" baseline="0"/>
            <a:t> éventuelles en face de la semaine correspondante (S1, S2, S3, etc.)</a:t>
          </a:r>
          <a:endParaRPr lang="fr-CH" sz="1400"/>
        </a:p>
      </xdr:txBody>
    </xdr:sp>
    <xdr:clientData/>
  </xdr:twoCellAnchor>
  <mc:AlternateContent xmlns:mc="http://schemas.openxmlformats.org/markup-compatibility/2006">
    <mc:Choice xmlns:a14="http://schemas.microsoft.com/office/drawing/2010/main" Requires="a14">
      <xdr:twoCellAnchor>
        <xdr:from>
          <xdr:col>10</xdr:col>
          <xdr:colOff>200025</xdr:colOff>
          <xdr:row>0</xdr:row>
          <xdr:rowOff>104775</xdr:rowOff>
        </xdr:from>
        <xdr:to>
          <xdr:col>12</xdr:col>
          <xdr:colOff>447675</xdr:colOff>
          <xdr:row>1</xdr:row>
          <xdr:rowOff>152400</xdr:rowOff>
        </xdr:to>
        <xdr:sp macro="" textlink="">
          <xdr:nvSpPr>
            <xdr:cNvPr id="182273" name="Button 1" hidden="1">
              <a:extLst>
                <a:ext uri="{63B3BB69-23CF-44E3-9099-C40C66FF867C}">
                  <a14:compatExt spid="_x0000_s182273"/>
                </a:ext>
                <a:ext uri="{FF2B5EF4-FFF2-40B4-BE49-F238E27FC236}">
                  <a16:creationId xmlns:a16="http://schemas.microsoft.com/office/drawing/2014/main" id="{00000000-0008-0000-1400-000001C8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200025</xdr:colOff>
          <xdr:row>1</xdr:row>
          <xdr:rowOff>295275</xdr:rowOff>
        </xdr:from>
        <xdr:to>
          <xdr:col>12</xdr:col>
          <xdr:colOff>447675</xdr:colOff>
          <xdr:row>2</xdr:row>
          <xdr:rowOff>66675</xdr:rowOff>
        </xdr:to>
        <xdr:sp macro="" textlink="">
          <xdr:nvSpPr>
            <xdr:cNvPr id="182274" name="Button 2" hidden="1">
              <a:extLst>
                <a:ext uri="{63B3BB69-23CF-44E3-9099-C40C66FF867C}">
                  <a14:compatExt spid="_x0000_s182274"/>
                </a:ext>
                <a:ext uri="{FF2B5EF4-FFF2-40B4-BE49-F238E27FC236}">
                  <a16:creationId xmlns:a16="http://schemas.microsoft.com/office/drawing/2014/main" id="{00000000-0008-0000-1400-000002C802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FF0000"/>
                  </a:solidFill>
                  <a:latin typeface="Arial"/>
                  <a:cs typeface="Arial"/>
                </a:rPr>
                <a:t>Suivi du poids</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1</xdr:col>
      <xdr:colOff>31750</xdr:colOff>
      <xdr:row>1</xdr:row>
      <xdr:rowOff>57150</xdr:rowOff>
    </xdr:from>
    <xdr:to>
      <xdr:col>1</xdr:col>
      <xdr:colOff>920750</xdr:colOff>
      <xdr:row>6</xdr:row>
      <xdr:rowOff>152400</xdr:rowOff>
    </xdr:to>
    <xdr:sp macro="" textlink="">
      <xdr:nvSpPr>
        <xdr:cNvPr id="14" name="Ellipse 13">
          <a:extLst>
            <a:ext uri="{FF2B5EF4-FFF2-40B4-BE49-F238E27FC236}">
              <a16:creationId xmlns:a16="http://schemas.microsoft.com/office/drawing/2014/main" id="{00000000-0008-0000-1500-00000E000000}"/>
            </a:ext>
          </a:extLst>
        </xdr:cNvPr>
        <xdr:cNvSpPr/>
      </xdr:nvSpPr>
      <xdr:spPr>
        <a:xfrm>
          <a:off x="317500" y="215900"/>
          <a:ext cx="889000" cy="889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3</xdr:col>
      <xdr:colOff>115358</xdr:colOff>
      <xdr:row>1</xdr:row>
      <xdr:rowOff>38100</xdr:rowOff>
    </xdr:from>
    <xdr:to>
      <xdr:col>4</xdr:col>
      <xdr:colOff>51858</xdr:colOff>
      <xdr:row>6</xdr:row>
      <xdr:rowOff>133350</xdr:rowOff>
    </xdr:to>
    <xdr:sp macro="" textlink="">
      <xdr:nvSpPr>
        <xdr:cNvPr id="15" name="Rectangle 14">
          <a:extLst>
            <a:ext uri="{FF2B5EF4-FFF2-40B4-BE49-F238E27FC236}">
              <a16:creationId xmlns:a16="http://schemas.microsoft.com/office/drawing/2014/main" id="{00000000-0008-0000-1500-00000F000000}"/>
            </a:ext>
          </a:extLst>
        </xdr:cNvPr>
        <xdr:cNvSpPr/>
      </xdr:nvSpPr>
      <xdr:spPr>
        <a:xfrm>
          <a:off x="2306108" y="196850"/>
          <a:ext cx="889000" cy="889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5</xdr:col>
      <xdr:colOff>10583</xdr:colOff>
      <xdr:row>1</xdr:row>
      <xdr:rowOff>96308</xdr:rowOff>
    </xdr:from>
    <xdr:to>
      <xdr:col>5</xdr:col>
      <xdr:colOff>899583</xdr:colOff>
      <xdr:row>7</xdr:row>
      <xdr:rowOff>32808</xdr:rowOff>
    </xdr:to>
    <xdr:sp macro="" textlink="">
      <xdr:nvSpPr>
        <xdr:cNvPr id="16" name="Ellipse 15">
          <a:extLst>
            <a:ext uri="{FF2B5EF4-FFF2-40B4-BE49-F238E27FC236}">
              <a16:creationId xmlns:a16="http://schemas.microsoft.com/office/drawing/2014/main" id="{00000000-0008-0000-1500-000010000000}"/>
            </a:ext>
          </a:extLst>
        </xdr:cNvPr>
        <xdr:cNvSpPr/>
      </xdr:nvSpPr>
      <xdr:spPr>
        <a:xfrm>
          <a:off x="4254500" y="255058"/>
          <a:ext cx="889000" cy="889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7</xdr:col>
      <xdr:colOff>107950</xdr:colOff>
      <xdr:row>1</xdr:row>
      <xdr:rowOff>95250</xdr:rowOff>
    </xdr:from>
    <xdr:to>
      <xdr:col>8</xdr:col>
      <xdr:colOff>44450</xdr:colOff>
      <xdr:row>7</xdr:row>
      <xdr:rowOff>31750</xdr:rowOff>
    </xdr:to>
    <xdr:sp macro="" textlink="">
      <xdr:nvSpPr>
        <xdr:cNvPr id="17" name="Rectangle 16">
          <a:extLst>
            <a:ext uri="{FF2B5EF4-FFF2-40B4-BE49-F238E27FC236}">
              <a16:creationId xmlns:a16="http://schemas.microsoft.com/office/drawing/2014/main" id="{00000000-0008-0000-1500-000011000000}"/>
            </a:ext>
          </a:extLst>
        </xdr:cNvPr>
        <xdr:cNvSpPr/>
      </xdr:nvSpPr>
      <xdr:spPr>
        <a:xfrm>
          <a:off x="6256867" y="254000"/>
          <a:ext cx="889000" cy="889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2</xdr:col>
      <xdr:colOff>67733</xdr:colOff>
      <xdr:row>10</xdr:row>
      <xdr:rowOff>68792</xdr:rowOff>
    </xdr:from>
    <xdr:to>
      <xdr:col>3</xdr:col>
      <xdr:colOff>4233</xdr:colOff>
      <xdr:row>16</xdr:row>
      <xdr:rowOff>5292</xdr:rowOff>
    </xdr:to>
    <xdr:sp macro="" textlink="">
      <xdr:nvSpPr>
        <xdr:cNvPr id="18" name="Ellipse 17">
          <a:extLst>
            <a:ext uri="{FF2B5EF4-FFF2-40B4-BE49-F238E27FC236}">
              <a16:creationId xmlns:a16="http://schemas.microsoft.com/office/drawing/2014/main" id="{00000000-0008-0000-1500-000012000000}"/>
            </a:ext>
          </a:extLst>
        </xdr:cNvPr>
        <xdr:cNvSpPr/>
      </xdr:nvSpPr>
      <xdr:spPr>
        <a:xfrm>
          <a:off x="1305983" y="1656292"/>
          <a:ext cx="889000" cy="889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6</xdr:col>
      <xdr:colOff>42334</xdr:colOff>
      <xdr:row>10</xdr:row>
      <xdr:rowOff>80433</xdr:rowOff>
    </xdr:from>
    <xdr:to>
      <xdr:col>6</xdr:col>
      <xdr:colOff>931334</xdr:colOff>
      <xdr:row>16</xdr:row>
      <xdr:rowOff>16933</xdr:rowOff>
    </xdr:to>
    <xdr:sp macro="" textlink="">
      <xdr:nvSpPr>
        <xdr:cNvPr id="19" name="Rectangle 18">
          <a:extLst>
            <a:ext uri="{FF2B5EF4-FFF2-40B4-BE49-F238E27FC236}">
              <a16:creationId xmlns:a16="http://schemas.microsoft.com/office/drawing/2014/main" id="{00000000-0008-0000-1500-000013000000}"/>
            </a:ext>
          </a:extLst>
        </xdr:cNvPr>
        <xdr:cNvSpPr/>
      </xdr:nvSpPr>
      <xdr:spPr>
        <a:xfrm>
          <a:off x="5238751" y="1667933"/>
          <a:ext cx="889000" cy="889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CH"/>
        </a:p>
      </xdr:txBody>
    </xdr:sp>
    <xdr:clientData/>
  </xdr:twoCellAnchor>
  <xdr:twoCellAnchor>
    <xdr:from>
      <xdr:col>1</xdr:col>
      <xdr:colOff>923925</xdr:colOff>
      <xdr:row>4</xdr:row>
      <xdr:rowOff>9525</xdr:rowOff>
    </xdr:from>
    <xdr:to>
      <xdr:col>3</xdr:col>
      <xdr:colOff>114300</xdr:colOff>
      <xdr:row>4</xdr:row>
      <xdr:rowOff>28575</xdr:rowOff>
    </xdr:to>
    <xdr:cxnSp macro="">
      <xdr:nvCxnSpPr>
        <xdr:cNvPr id="200927" name="AutoShape 13">
          <a:extLst>
            <a:ext uri="{FF2B5EF4-FFF2-40B4-BE49-F238E27FC236}">
              <a16:creationId xmlns:a16="http://schemas.microsoft.com/office/drawing/2014/main" id="{00000000-0008-0000-1500-0000DF100300}"/>
            </a:ext>
          </a:extLst>
        </xdr:cNvPr>
        <xdr:cNvCxnSpPr>
          <a:cxnSpLocks noChangeShapeType="1"/>
          <a:stCxn id="14" idx="6"/>
          <a:endCxn id="15" idx="1"/>
        </xdr:cNvCxnSpPr>
      </xdr:nvCxnSpPr>
      <xdr:spPr bwMode="auto">
        <a:xfrm flipV="1">
          <a:off x="1209675" y="657225"/>
          <a:ext cx="1095375" cy="19050"/>
        </a:xfrm>
        <a:prstGeom prst="straightConnector1">
          <a:avLst/>
        </a:prstGeom>
        <a:noFill/>
        <a:ln w="25400">
          <a:solidFill>
            <a:srgbClr val="333399"/>
          </a:solidFill>
          <a:round/>
          <a:headEnd/>
          <a:tailEnd/>
        </a:ln>
      </xdr:spPr>
    </xdr:cxnSp>
    <xdr:clientData/>
  </xdr:twoCellAnchor>
  <xdr:twoCellAnchor>
    <xdr:from>
      <xdr:col>5</xdr:col>
      <xdr:colOff>895350</xdr:colOff>
      <xdr:row>4</xdr:row>
      <xdr:rowOff>66675</xdr:rowOff>
    </xdr:from>
    <xdr:to>
      <xdr:col>7</xdr:col>
      <xdr:colOff>104775</xdr:colOff>
      <xdr:row>4</xdr:row>
      <xdr:rowOff>66675</xdr:rowOff>
    </xdr:to>
    <xdr:cxnSp macro="">
      <xdr:nvCxnSpPr>
        <xdr:cNvPr id="200928" name="AutoShape 14">
          <a:extLst>
            <a:ext uri="{FF2B5EF4-FFF2-40B4-BE49-F238E27FC236}">
              <a16:creationId xmlns:a16="http://schemas.microsoft.com/office/drawing/2014/main" id="{00000000-0008-0000-1500-0000E0100300}"/>
            </a:ext>
          </a:extLst>
        </xdr:cNvPr>
        <xdr:cNvCxnSpPr>
          <a:cxnSpLocks noChangeShapeType="1"/>
          <a:stCxn id="16" idx="6"/>
          <a:endCxn id="17" idx="1"/>
        </xdr:cNvCxnSpPr>
      </xdr:nvCxnSpPr>
      <xdr:spPr bwMode="auto">
        <a:xfrm flipV="1">
          <a:off x="5143500" y="714375"/>
          <a:ext cx="1114425" cy="0"/>
        </a:xfrm>
        <a:prstGeom prst="straightConnector1">
          <a:avLst/>
        </a:prstGeom>
        <a:noFill/>
        <a:ln w="25400">
          <a:solidFill>
            <a:srgbClr val="333399"/>
          </a:solidFill>
          <a:round/>
          <a:headEnd/>
          <a:tailEnd/>
        </a:ln>
      </xdr:spPr>
    </xdr:cxnSp>
    <xdr:clientData/>
  </xdr:twoCellAnchor>
  <xdr:twoCellAnchor>
    <xdr:from>
      <xdr:col>2</xdr:col>
      <xdr:colOff>514350</xdr:colOff>
      <xdr:row>4</xdr:row>
      <xdr:rowOff>19050</xdr:rowOff>
    </xdr:from>
    <xdr:to>
      <xdr:col>2</xdr:col>
      <xdr:colOff>514350</xdr:colOff>
      <xdr:row>10</xdr:row>
      <xdr:rowOff>57150</xdr:rowOff>
    </xdr:to>
    <xdr:cxnSp macro="">
      <xdr:nvCxnSpPr>
        <xdr:cNvPr id="200929" name="AutoShape 15">
          <a:extLst>
            <a:ext uri="{FF2B5EF4-FFF2-40B4-BE49-F238E27FC236}">
              <a16:creationId xmlns:a16="http://schemas.microsoft.com/office/drawing/2014/main" id="{00000000-0008-0000-1500-0000E1100300}"/>
            </a:ext>
          </a:extLst>
        </xdr:cNvPr>
        <xdr:cNvCxnSpPr>
          <a:cxnSpLocks noChangeShapeType="1"/>
          <a:endCxn id="18" idx="0"/>
        </xdr:cNvCxnSpPr>
      </xdr:nvCxnSpPr>
      <xdr:spPr bwMode="auto">
        <a:xfrm>
          <a:off x="1752600" y="666750"/>
          <a:ext cx="0" cy="1009650"/>
        </a:xfrm>
        <a:prstGeom prst="straightConnector1">
          <a:avLst/>
        </a:prstGeom>
        <a:noFill/>
        <a:ln w="25400">
          <a:solidFill>
            <a:srgbClr val="333399"/>
          </a:solidFill>
          <a:round/>
          <a:headEnd/>
          <a:tailEnd/>
        </a:ln>
      </xdr:spPr>
    </xdr:cxnSp>
    <xdr:clientData/>
  </xdr:twoCellAnchor>
  <xdr:twoCellAnchor>
    <xdr:from>
      <xdr:col>6</xdr:col>
      <xdr:colOff>485775</xdr:colOff>
      <xdr:row>4</xdr:row>
      <xdr:rowOff>57150</xdr:rowOff>
    </xdr:from>
    <xdr:to>
      <xdr:col>6</xdr:col>
      <xdr:colOff>485775</xdr:colOff>
      <xdr:row>10</xdr:row>
      <xdr:rowOff>76200</xdr:rowOff>
    </xdr:to>
    <xdr:cxnSp macro="">
      <xdr:nvCxnSpPr>
        <xdr:cNvPr id="200930" name="AutoShape 16">
          <a:extLst>
            <a:ext uri="{FF2B5EF4-FFF2-40B4-BE49-F238E27FC236}">
              <a16:creationId xmlns:a16="http://schemas.microsoft.com/office/drawing/2014/main" id="{00000000-0008-0000-1500-0000E2100300}"/>
            </a:ext>
          </a:extLst>
        </xdr:cNvPr>
        <xdr:cNvCxnSpPr>
          <a:cxnSpLocks noChangeShapeType="1"/>
          <a:stCxn id="19" idx="0"/>
        </xdr:cNvCxnSpPr>
      </xdr:nvCxnSpPr>
      <xdr:spPr bwMode="auto">
        <a:xfrm rot="5400000" flipH="1" flipV="1">
          <a:off x="5191125" y="1200150"/>
          <a:ext cx="990600" cy="0"/>
        </a:xfrm>
        <a:prstGeom prst="straightConnector1">
          <a:avLst/>
        </a:prstGeom>
        <a:noFill/>
        <a:ln w="25400">
          <a:solidFill>
            <a:srgbClr val="333399"/>
          </a:solidFill>
          <a:round/>
          <a:headEnd/>
          <a:tailEnd/>
        </a:ln>
      </xdr:spPr>
    </xdr:cxnSp>
    <xdr:clientData/>
  </xdr:twoCellAnchor>
  <xdr:twoCellAnchor>
    <xdr:from>
      <xdr:col>3</xdr:col>
      <xdr:colOff>0</xdr:colOff>
      <xdr:row>13</xdr:row>
      <xdr:rowOff>38100</xdr:rowOff>
    </xdr:from>
    <xdr:to>
      <xdr:col>6</xdr:col>
      <xdr:colOff>38100</xdr:colOff>
      <xdr:row>13</xdr:row>
      <xdr:rowOff>47625</xdr:rowOff>
    </xdr:to>
    <xdr:cxnSp macro="">
      <xdr:nvCxnSpPr>
        <xdr:cNvPr id="200931" name="AutoShape 17">
          <a:extLst>
            <a:ext uri="{FF2B5EF4-FFF2-40B4-BE49-F238E27FC236}">
              <a16:creationId xmlns:a16="http://schemas.microsoft.com/office/drawing/2014/main" id="{00000000-0008-0000-1500-0000E3100300}"/>
            </a:ext>
          </a:extLst>
        </xdr:cNvPr>
        <xdr:cNvCxnSpPr>
          <a:cxnSpLocks noChangeShapeType="1"/>
          <a:stCxn id="18" idx="6"/>
          <a:endCxn id="19" idx="1"/>
        </xdr:cNvCxnSpPr>
      </xdr:nvCxnSpPr>
      <xdr:spPr bwMode="auto">
        <a:xfrm>
          <a:off x="2190750" y="2143125"/>
          <a:ext cx="3048000" cy="9525"/>
        </a:xfrm>
        <a:prstGeom prst="straightConnector1">
          <a:avLst/>
        </a:prstGeom>
        <a:noFill/>
        <a:ln w="25400">
          <a:solidFill>
            <a:srgbClr val="333399"/>
          </a:solidFill>
          <a:round/>
          <a:headEnd/>
          <a:tailEnd/>
        </a:ln>
      </xdr:spPr>
    </xdr:cxnSp>
    <xdr:clientData/>
  </xdr:twoCellAnchor>
  <xdr:twoCellAnchor>
    <xdr:from>
      <xdr:col>4</xdr:col>
      <xdr:colOff>200025</xdr:colOff>
      <xdr:row>15</xdr:row>
      <xdr:rowOff>28575</xdr:rowOff>
    </xdr:from>
    <xdr:to>
      <xdr:col>4</xdr:col>
      <xdr:colOff>838200</xdr:colOff>
      <xdr:row>19</xdr:row>
      <xdr:rowOff>28575</xdr:rowOff>
    </xdr:to>
    <xdr:sp macro="" textlink="">
      <xdr:nvSpPr>
        <xdr:cNvPr id="200932" name="AutoShape 18">
          <a:extLst>
            <a:ext uri="{FF2B5EF4-FFF2-40B4-BE49-F238E27FC236}">
              <a16:creationId xmlns:a16="http://schemas.microsoft.com/office/drawing/2014/main" id="{00000000-0008-0000-1500-0000E4100300}"/>
            </a:ext>
          </a:extLst>
        </xdr:cNvPr>
        <xdr:cNvSpPr>
          <a:spLocks noChangeArrowheads="1"/>
        </xdr:cNvSpPr>
      </xdr:nvSpPr>
      <xdr:spPr bwMode="auto">
        <a:xfrm>
          <a:off x="3343275" y="2457450"/>
          <a:ext cx="638175" cy="647700"/>
        </a:xfrm>
        <a:prstGeom prst="diamond">
          <a:avLst/>
        </a:prstGeom>
        <a:solidFill>
          <a:schemeClr val="accent3">
            <a:lumMod val="20000"/>
            <a:lumOff val="80000"/>
          </a:schemeClr>
        </a:solidFill>
        <a:ln w="25400">
          <a:solidFill>
            <a:srgbClr val="333399"/>
          </a:solidFill>
          <a:miter lim="800000"/>
          <a:headEnd/>
          <a:tailEnd/>
        </a:ln>
      </xdr:spPr>
    </xdr:sp>
    <xdr:clientData/>
  </xdr:twoCellAnchor>
  <xdr:twoCellAnchor>
    <xdr:from>
      <xdr:col>4</xdr:col>
      <xdr:colOff>514350</xdr:colOff>
      <xdr:row>13</xdr:row>
      <xdr:rowOff>38100</xdr:rowOff>
    </xdr:from>
    <xdr:to>
      <xdr:col>4</xdr:col>
      <xdr:colOff>523875</xdr:colOff>
      <xdr:row>15</xdr:row>
      <xdr:rowOff>28575</xdr:rowOff>
    </xdr:to>
    <xdr:cxnSp macro="">
      <xdr:nvCxnSpPr>
        <xdr:cNvPr id="200933" name="AutoShape 22">
          <a:extLst>
            <a:ext uri="{FF2B5EF4-FFF2-40B4-BE49-F238E27FC236}">
              <a16:creationId xmlns:a16="http://schemas.microsoft.com/office/drawing/2014/main" id="{00000000-0008-0000-1500-0000E5100300}"/>
            </a:ext>
          </a:extLst>
        </xdr:cNvPr>
        <xdr:cNvCxnSpPr>
          <a:cxnSpLocks noChangeShapeType="1"/>
          <a:stCxn id="200932" idx="0"/>
        </xdr:cNvCxnSpPr>
      </xdr:nvCxnSpPr>
      <xdr:spPr bwMode="auto">
        <a:xfrm rot="16200000" flipV="1">
          <a:off x="3505200" y="2295525"/>
          <a:ext cx="314325" cy="9525"/>
        </a:xfrm>
        <a:prstGeom prst="straightConnector1">
          <a:avLst/>
        </a:prstGeom>
        <a:noFill/>
        <a:ln w="25400">
          <a:solidFill>
            <a:srgbClr val="333399"/>
          </a:solidFill>
          <a:round/>
          <a:headEnd/>
          <a:tailEnd/>
        </a:ln>
      </xdr:spPr>
    </xdr:cxnSp>
    <xdr:clientData/>
  </xdr:twoCellAnchor>
  <xdr:twoCellAnchor>
    <xdr:from>
      <xdr:col>2</xdr:col>
      <xdr:colOff>28575</xdr:colOff>
      <xdr:row>26</xdr:row>
      <xdr:rowOff>47625</xdr:rowOff>
    </xdr:from>
    <xdr:to>
      <xdr:col>2</xdr:col>
      <xdr:colOff>923925</xdr:colOff>
      <xdr:row>31</xdr:row>
      <xdr:rowOff>123825</xdr:rowOff>
    </xdr:to>
    <xdr:sp macro="" textlink="">
      <xdr:nvSpPr>
        <xdr:cNvPr id="200934" name="Oval 38">
          <a:extLst>
            <a:ext uri="{FF2B5EF4-FFF2-40B4-BE49-F238E27FC236}">
              <a16:creationId xmlns:a16="http://schemas.microsoft.com/office/drawing/2014/main" id="{00000000-0008-0000-1500-0000E6100300}"/>
            </a:ext>
          </a:extLst>
        </xdr:cNvPr>
        <xdr:cNvSpPr>
          <a:spLocks noChangeArrowheads="1"/>
        </xdr:cNvSpPr>
      </xdr:nvSpPr>
      <xdr:spPr bwMode="auto">
        <a:xfrm>
          <a:off x="1266825" y="4257675"/>
          <a:ext cx="895350" cy="885825"/>
        </a:xfrm>
        <a:prstGeom prst="ellipse">
          <a:avLst/>
        </a:prstGeom>
        <a:solidFill>
          <a:srgbClr val="FFFFFF">
            <a:alpha val="0"/>
          </a:srgbClr>
        </a:solidFill>
        <a:ln w="25400">
          <a:noFill/>
          <a:round/>
          <a:headEnd/>
          <a:tailEnd/>
        </a:ln>
      </xdr:spPr>
    </xdr:sp>
    <xdr:clientData/>
  </xdr:twoCellAnchor>
  <mc:AlternateContent xmlns:mc="http://schemas.openxmlformats.org/markup-compatibility/2006">
    <mc:Choice xmlns:a14="http://schemas.microsoft.com/office/drawing/2010/main" Requires="a14">
      <xdr:twoCellAnchor>
        <xdr:from>
          <xdr:col>11</xdr:col>
          <xdr:colOff>152400</xdr:colOff>
          <xdr:row>3</xdr:row>
          <xdr:rowOff>152400</xdr:rowOff>
        </xdr:from>
        <xdr:to>
          <xdr:col>12</xdr:col>
          <xdr:colOff>542925</xdr:colOff>
          <xdr:row>6</xdr:row>
          <xdr:rowOff>76200</xdr:rowOff>
        </xdr:to>
        <xdr:sp macro="" textlink="">
          <xdr:nvSpPr>
            <xdr:cNvPr id="200708" name="Button 4" hidden="1">
              <a:extLst>
                <a:ext uri="{63B3BB69-23CF-44E3-9099-C40C66FF867C}">
                  <a14:compatExt spid="_x0000_s200708"/>
                </a:ext>
                <a:ext uri="{FF2B5EF4-FFF2-40B4-BE49-F238E27FC236}">
                  <a16:creationId xmlns:a16="http://schemas.microsoft.com/office/drawing/2014/main" id="{00000000-0008-0000-1500-0000041003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1" i="0" u="none" strike="noStrike" baseline="0">
                  <a:solidFill>
                    <a:srgbClr val="808000"/>
                  </a:solidFill>
                  <a:latin typeface="Arial"/>
                  <a:cs typeface="Arial"/>
                </a:rPr>
                <a:t>Accueil</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15</xdr:row>
          <xdr:rowOff>76200</xdr:rowOff>
        </xdr:from>
        <xdr:to>
          <xdr:col>0</xdr:col>
          <xdr:colOff>2276475</xdr:colOff>
          <xdr:row>18</xdr:row>
          <xdr:rowOff>76200</xdr:rowOff>
        </xdr:to>
        <xdr:sp macro="" textlink="">
          <xdr:nvSpPr>
            <xdr:cNvPr id="475222" name="Button 86" hidden="1">
              <a:extLst>
                <a:ext uri="{63B3BB69-23CF-44E3-9099-C40C66FF867C}">
                  <a14:compatExt spid="_x0000_s475222"/>
                </a:ext>
                <a:ext uri="{FF2B5EF4-FFF2-40B4-BE49-F238E27FC236}">
                  <a16:creationId xmlns:a16="http://schemas.microsoft.com/office/drawing/2014/main" id="{00000000-0008-0000-1600-0000564007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0000FF"/>
                  </a:solidFill>
                  <a:latin typeface="Arial"/>
                  <a:cs typeface="Arial"/>
                </a:rPr>
                <a:t>Voir les résultats du test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0</xdr:row>
          <xdr:rowOff>104775</xdr:rowOff>
        </xdr:from>
        <xdr:to>
          <xdr:col>19</xdr:col>
          <xdr:colOff>314325</xdr:colOff>
          <xdr:row>0</xdr:row>
          <xdr:rowOff>390525</xdr:rowOff>
        </xdr:to>
        <xdr:sp macro="" textlink="">
          <xdr:nvSpPr>
            <xdr:cNvPr id="475223" name="Button 87" hidden="1">
              <a:extLst>
                <a:ext uri="{63B3BB69-23CF-44E3-9099-C40C66FF867C}">
                  <a14:compatExt spid="_x0000_s475223"/>
                </a:ext>
                <a:ext uri="{FF2B5EF4-FFF2-40B4-BE49-F238E27FC236}">
                  <a16:creationId xmlns:a16="http://schemas.microsoft.com/office/drawing/2014/main" id="{00000000-0008-0000-1600-0000574007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20</xdr:row>
          <xdr:rowOff>114300</xdr:rowOff>
        </xdr:from>
        <xdr:to>
          <xdr:col>21</xdr:col>
          <xdr:colOff>47625</xdr:colOff>
          <xdr:row>20</xdr:row>
          <xdr:rowOff>457200</xdr:rowOff>
        </xdr:to>
        <xdr:sp macro="" textlink="">
          <xdr:nvSpPr>
            <xdr:cNvPr id="475224" name="Scroll Bar 88" hidden="1">
              <a:extLst>
                <a:ext uri="{63B3BB69-23CF-44E3-9099-C40C66FF867C}">
                  <a14:compatExt spid="_x0000_s475224"/>
                </a:ext>
                <a:ext uri="{FF2B5EF4-FFF2-40B4-BE49-F238E27FC236}">
                  <a16:creationId xmlns:a16="http://schemas.microsoft.com/office/drawing/2014/main" id="{00000000-0008-0000-1600-0000584007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21</xdr:row>
          <xdr:rowOff>114300</xdr:rowOff>
        </xdr:from>
        <xdr:to>
          <xdr:col>21</xdr:col>
          <xdr:colOff>47625</xdr:colOff>
          <xdr:row>21</xdr:row>
          <xdr:rowOff>447675</xdr:rowOff>
        </xdr:to>
        <xdr:sp macro="" textlink="">
          <xdr:nvSpPr>
            <xdr:cNvPr id="475225" name="Scroll Bar 89" hidden="1">
              <a:extLst>
                <a:ext uri="{63B3BB69-23CF-44E3-9099-C40C66FF867C}">
                  <a14:compatExt spid="_x0000_s475225"/>
                </a:ext>
                <a:ext uri="{FF2B5EF4-FFF2-40B4-BE49-F238E27FC236}">
                  <a16:creationId xmlns:a16="http://schemas.microsoft.com/office/drawing/2014/main" id="{00000000-0008-0000-1600-0000594007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104775</xdr:rowOff>
        </xdr:from>
        <xdr:to>
          <xdr:col>21</xdr:col>
          <xdr:colOff>66675</xdr:colOff>
          <xdr:row>22</xdr:row>
          <xdr:rowOff>447675</xdr:rowOff>
        </xdr:to>
        <xdr:sp macro="" textlink="">
          <xdr:nvSpPr>
            <xdr:cNvPr id="475226" name="Scroll Bar 90" hidden="1">
              <a:extLst>
                <a:ext uri="{63B3BB69-23CF-44E3-9099-C40C66FF867C}">
                  <a14:compatExt spid="_x0000_s475226"/>
                </a:ext>
                <a:ext uri="{FF2B5EF4-FFF2-40B4-BE49-F238E27FC236}">
                  <a16:creationId xmlns:a16="http://schemas.microsoft.com/office/drawing/2014/main" id="{00000000-0008-0000-1600-00005A4007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2</xdr:col>
      <xdr:colOff>42526</xdr:colOff>
      <xdr:row>1</xdr:row>
      <xdr:rowOff>51026</xdr:rowOff>
    </xdr:from>
    <xdr:to>
      <xdr:col>20</xdr:col>
      <xdr:colOff>289155</xdr:colOff>
      <xdr:row>19</xdr:row>
      <xdr:rowOff>208574</xdr:rowOff>
    </xdr:to>
    <xdr:pic>
      <xdr:nvPicPr>
        <xdr:cNvPr id="8" name="Image 7">
          <a:extLst>
            <a:ext uri="{FF2B5EF4-FFF2-40B4-BE49-F238E27FC236}">
              <a16:creationId xmlns:a16="http://schemas.microsoft.com/office/drawing/2014/main" id="{00000000-0008-0000-16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4981" y="459240"/>
          <a:ext cx="8206808" cy="306607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15</xdr:row>
          <xdr:rowOff>76200</xdr:rowOff>
        </xdr:from>
        <xdr:to>
          <xdr:col>0</xdr:col>
          <xdr:colOff>2276475</xdr:colOff>
          <xdr:row>18</xdr:row>
          <xdr:rowOff>76200</xdr:rowOff>
        </xdr:to>
        <xdr:sp macro="" textlink="">
          <xdr:nvSpPr>
            <xdr:cNvPr id="492558" name="Button 14" hidden="1">
              <a:extLst>
                <a:ext uri="{63B3BB69-23CF-44E3-9099-C40C66FF867C}">
                  <a14:compatExt spid="_x0000_s492558"/>
                </a:ext>
                <a:ext uri="{FF2B5EF4-FFF2-40B4-BE49-F238E27FC236}">
                  <a16:creationId xmlns:a16="http://schemas.microsoft.com/office/drawing/2014/main" id="{00000000-0008-0000-1700-00000E8407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0000FF"/>
                  </a:solidFill>
                  <a:latin typeface="Arial"/>
                  <a:cs typeface="Arial"/>
                </a:rPr>
                <a:t>Voir les résultats du test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0</xdr:row>
          <xdr:rowOff>104775</xdr:rowOff>
        </xdr:from>
        <xdr:to>
          <xdr:col>19</xdr:col>
          <xdr:colOff>314325</xdr:colOff>
          <xdr:row>0</xdr:row>
          <xdr:rowOff>390525</xdr:rowOff>
        </xdr:to>
        <xdr:sp macro="" textlink="">
          <xdr:nvSpPr>
            <xdr:cNvPr id="492559" name="Button 15" hidden="1">
              <a:extLst>
                <a:ext uri="{63B3BB69-23CF-44E3-9099-C40C66FF867C}">
                  <a14:compatExt spid="_x0000_s492559"/>
                </a:ext>
                <a:ext uri="{FF2B5EF4-FFF2-40B4-BE49-F238E27FC236}">
                  <a16:creationId xmlns:a16="http://schemas.microsoft.com/office/drawing/2014/main" id="{00000000-0008-0000-1700-00000F8407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20</xdr:row>
          <xdr:rowOff>123825</xdr:rowOff>
        </xdr:from>
        <xdr:to>
          <xdr:col>21</xdr:col>
          <xdr:colOff>47625</xdr:colOff>
          <xdr:row>20</xdr:row>
          <xdr:rowOff>447675</xdr:rowOff>
        </xdr:to>
        <xdr:sp macro="" textlink="">
          <xdr:nvSpPr>
            <xdr:cNvPr id="492560" name="Scroll Bar 16" hidden="1">
              <a:extLst>
                <a:ext uri="{63B3BB69-23CF-44E3-9099-C40C66FF867C}">
                  <a14:compatExt spid="_x0000_s492560"/>
                </a:ext>
                <a:ext uri="{FF2B5EF4-FFF2-40B4-BE49-F238E27FC236}">
                  <a16:creationId xmlns:a16="http://schemas.microsoft.com/office/drawing/2014/main" id="{00000000-0008-0000-1700-0000108407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21</xdr:row>
          <xdr:rowOff>114300</xdr:rowOff>
        </xdr:from>
        <xdr:to>
          <xdr:col>21</xdr:col>
          <xdr:colOff>38100</xdr:colOff>
          <xdr:row>21</xdr:row>
          <xdr:rowOff>447675</xdr:rowOff>
        </xdr:to>
        <xdr:sp macro="" textlink="">
          <xdr:nvSpPr>
            <xdr:cNvPr id="492561" name="Scroll Bar 17" hidden="1">
              <a:extLst>
                <a:ext uri="{63B3BB69-23CF-44E3-9099-C40C66FF867C}">
                  <a14:compatExt spid="_x0000_s492561"/>
                </a:ext>
                <a:ext uri="{FF2B5EF4-FFF2-40B4-BE49-F238E27FC236}">
                  <a16:creationId xmlns:a16="http://schemas.microsoft.com/office/drawing/2014/main" id="{00000000-0008-0000-1700-0000118407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22</xdr:row>
          <xdr:rowOff>114300</xdr:rowOff>
        </xdr:from>
        <xdr:to>
          <xdr:col>21</xdr:col>
          <xdr:colOff>66675</xdr:colOff>
          <xdr:row>22</xdr:row>
          <xdr:rowOff>457200</xdr:rowOff>
        </xdr:to>
        <xdr:sp macro="" textlink="">
          <xdr:nvSpPr>
            <xdr:cNvPr id="492562" name="Scroll Bar 18" hidden="1">
              <a:extLst>
                <a:ext uri="{63B3BB69-23CF-44E3-9099-C40C66FF867C}">
                  <a14:compatExt spid="_x0000_s492562"/>
                </a:ext>
                <a:ext uri="{FF2B5EF4-FFF2-40B4-BE49-F238E27FC236}">
                  <a16:creationId xmlns:a16="http://schemas.microsoft.com/office/drawing/2014/main" id="{00000000-0008-0000-1700-0000128407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1</xdr:row>
          <xdr:rowOff>104775</xdr:rowOff>
        </xdr:from>
        <xdr:to>
          <xdr:col>21</xdr:col>
          <xdr:colOff>66675</xdr:colOff>
          <xdr:row>20</xdr:row>
          <xdr:rowOff>0</xdr:rowOff>
        </xdr:to>
        <xdr:sp macro="" textlink="">
          <xdr:nvSpPr>
            <xdr:cNvPr id="492564" name="Object 20" hidden="1">
              <a:extLst>
                <a:ext uri="{63B3BB69-23CF-44E3-9099-C40C66FF867C}">
                  <a14:compatExt spid="_x0000_s492564"/>
                </a:ext>
                <a:ext uri="{FF2B5EF4-FFF2-40B4-BE49-F238E27FC236}">
                  <a16:creationId xmlns:a16="http://schemas.microsoft.com/office/drawing/2014/main" id="{00000000-0008-0000-1700-0000148407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15</xdr:row>
          <xdr:rowOff>76200</xdr:rowOff>
        </xdr:from>
        <xdr:to>
          <xdr:col>0</xdr:col>
          <xdr:colOff>2295525</xdr:colOff>
          <xdr:row>18</xdr:row>
          <xdr:rowOff>76200</xdr:rowOff>
        </xdr:to>
        <xdr:sp macro="" textlink="">
          <xdr:nvSpPr>
            <xdr:cNvPr id="617473" name="Button 86" hidden="1">
              <a:extLst>
                <a:ext uri="{63B3BB69-23CF-44E3-9099-C40C66FF867C}">
                  <a14:compatExt spid="_x0000_s617473"/>
                </a:ext>
                <a:ext uri="{FF2B5EF4-FFF2-40B4-BE49-F238E27FC236}">
                  <a16:creationId xmlns:a16="http://schemas.microsoft.com/office/drawing/2014/main" id="{00000000-0008-0000-1800-0000016C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0000FF"/>
                  </a:solidFill>
                  <a:latin typeface="Arial"/>
                  <a:cs typeface="Arial"/>
                </a:rPr>
                <a:t>Voir les résultats du test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419100</xdr:colOff>
          <xdr:row>0</xdr:row>
          <xdr:rowOff>114300</xdr:rowOff>
        </xdr:from>
        <xdr:to>
          <xdr:col>11</xdr:col>
          <xdr:colOff>685800</xdr:colOff>
          <xdr:row>3</xdr:row>
          <xdr:rowOff>104775</xdr:rowOff>
        </xdr:to>
        <xdr:sp macro="" textlink="">
          <xdr:nvSpPr>
            <xdr:cNvPr id="617474" name="Button 87" hidden="1">
              <a:extLst>
                <a:ext uri="{63B3BB69-23CF-44E3-9099-C40C66FF867C}">
                  <a14:compatExt spid="_x0000_s617474"/>
                </a:ext>
                <a:ext uri="{FF2B5EF4-FFF2-40B4-BE49-F238E27FC236}">
                  <a16:creationId xmlns:a16="http://schemas.microsoft.com/office/drawing/2014/main" id="{00000000-0008-0000-1800-0000026C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66675</xdr:rowOff>
        </xdr:from>
        <xdr:to>
          <xdr:col>13</xdr:col>
          <xdr:colOff>190500</xdr:colOff>
          <xdr:row>20</xdr:row>
          <xdr:rowOff>447675</xdr:rowOff>
        </xdr:to>
        <xdr:sp macro="" textlink="">
          <xdr:nvSpPr>
            <xdr:cNvPr id="617475" name="Scroll Bar 88" hidden="1">
              <a:extLst>
                <a:ext uri="{63B3BB69-23CF-44E3-9099-C40C66FF867C}">
                  <a14:compatExt spid="_x0000_s617475"/>
                </a:ext>
                <a:ext uri="{FF2B5EF4-FFF2-40B4-BE49-F238E27FC236}">
                  <a16:creationId xmlns:a16="http://schemas.microsoft.com/office/drawing/2014/main" id="{00000000-0008-0000-1800-0000036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66675</xdr:rowOff>
        </xdr:from>
        <xdr:to>
          <xdr:col>13</xdr:col>
          <xdr:colOff>190500</xdr:colOff>
          <xdr:row>21</xdr:row>
          <xdr:rowOff>447675</xdr:rowOff>
        </xdr:to>
        <xdr:sp macro="" textlink="">
          <xdr:nvSpPr>
            <xdr:cNvPr id="617476" name="Scroll Bar 89" hidden="1">
              <a:extLst>
                <a:ext uri="{63B3BB69-23CF-44E3-9099-C40C66FF867C}">
                  <a14:compatExt spid="_x0000_s617476"/>
                </a:ext>
                <a:ext uri="{FF2B5EF4-FFF2-40B4-BE49-F238E27FC236}">
                  <a16:creationId xmlns:a16="http://schemas.microsoft.com/office/drawing/2014/main" id="{00000000-0008-0000-1800-0000046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66675</xdr:rowOff>
        </xdr:from>
        <xdr:to>
          <xdr:col>13</xdr:col>
          <xdr:colOff>200025</xdr:colOff>
          <xdr:row>22</xdr:row>
          <xdr:rowOff>447675</xdr:rowOff>
        </xdr:to>
        <xdr:sp macro="" textlink="">
          <xdr:nvSpPr>
            <xdr:cNvPr id="617477" name="Scroll Bar 90" hidden="1">
              <a:extLst>
                <a:ext uri="{63B3BB69-23CF-44E3-9099-C40C66FF867C}">
                  <a14:compatExt spid="_x0000_s617477"/>
                </a:ext>
                <a:ext uri="{FF2B5EF4-FFF2-40B4-BE49-F238E27FC236}">
                  <a16:creationId xmlns:a16="http://schemas.microsoft.com/office/drawing/2014/main" id="{00000000-0008-0000-1800-0000056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twoCellAnchor editAs="oneCell">
    <xdr:from>
      <xdr:col>1</xdr:col>
      <xdr:colOff>160455</xdr:colOff>
      <xdr:row>5</xdr:row>
      <xdr:rowOff>12532</xdr:rowOff>
    </xdr:from>
    <xdr:to>
      <xdr:col>12</xdr:col>
      <xdr:colOff>723898</xdr:colOff>
      <xdr:row>19</xdr:row>
      <xdr:rowOff>63929</xdr:rowOff>
    </xdr:to>
    <xdr:pic>
      <xdr:nvPicPr>
        <xdr:cNvPr id="10" name="Image 9">
          <a:extLst>
            <a:ext uri="{FF2B5EF4-FFF2-40B4-BE49-F238E27FC236}">
              <a16:creationId xmlns:a16="http://schemas.microsoft.com/office/drawing/2014/main" id="{00000000-0008-0000-1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2512938" y="977817"/>
          <a:ext cx="8931379" cy="2288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15</xdr:row>
          <xdr:rowOff>76200</xdr:rowOff>
        </xdr:from>
        <xdr:to>
          <xdr:col>0</xdr:col>
          <xdr:colOff>2286000</xdr:colOff>
          <xdr:row>18</xdr:row>
          <xdr:rowOff>76200</xdr:rowOff>
        </xdr:to>
        <xdr:sp macro="" textlink="">
          <xdr:nvSpPr>
            <xdr:cNvPr id="621607" name="Button 86" hidden="1">
              <a:extLst>
                <a:ext uri="{63B3BB69-23CF-44E3-9099-C40C66FF867C}">
                  <a14:compatExt spid="_x0000_s621607"/>
                </a:ext>
                <a:ext uri="{FF2B5EF4-FFF2-40B4-BE49-F238E27FC236}">
                  <a16:creationId xmlns:a16="http://schemas.microsoft.com/office/drawing/2014/main" id="{00000000-0008-0000-1900-0000277C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0000FF"/>
                  </a:solidFill>
                  <a:latin typeface="Arial"/>
                  <a:cs typeface="Arial"/>
                </a:rPr>
                <a:t>Voir les résultats du test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419100</xdr:colOff>
          <xdr:row>0</xdr:row>
          <xdr:rowOff>114300</xdr:rowOff>
        </xdr:from>
        <xdr:to>
          <xdr:col>11</xdr:col>
          <xdr:colOff>685800</xdr:colOff>
          <xdr:row>3</xdr:row>
          <xdr:rowOff>104775</xdr:rowOff>
        </xdr:to>
        <xdr:sp macro="" textlink="">
          <xdr:nvSpPr>
            <xdr:cNvPr id="621608" name="Button 87" hidden="1">
              <a:extLst>
                <a:ext uri="{63B3BB69-23CF-44E3-9099-C40C66FF867C}">
                  <a14:compatExt spid="_x0000_s621608"/>
                </a:ext>
                <a:ext uri="{FF2B5EF4-FFF2-40B4-BE49-F238E27FC236}">
                  <a16:creationId xmlns:a16="http://schemas.microsoft.com/office/drawing/2014/main" id="{00000000-0008-0000-1900-0000287C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400" b="0" i="0" u="none" strike="noStrike" baseline="0">
                  <a:solidFill>
                    <a:srgbClr val="FF0000"/>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66675</xdr:rowOff>
        </xdr:from>
        <xdr:to>
          <xdr:col>13</xdr:col>
          <xdr:colOff>190500</xdr:colOff>
          <xdr:row>20</xdr:row>
          <xdr:rowOff>466725</xdr:rowOff>
        </xdr:to>
        <xdr:sp macro="" textlink="">
          <xdr:nvSpPr>
            <xdr:cNvPr id="621609" name="Scroll Bar 88" hidden="1">
              <a:extLst>
                <a:ext uri="{63B3BB69-23CF-44E3-9099-C40C66FF867C}">
                  <a14:compatExt spid="_x0000_s621609"/>
                </a:ext>
                <a:ext uri="{FF2B5EF4-FFF2-40B4-BE49-F238E27FC236}">
                  <a16:creationId xmlns:a16="http://schemas.microsoft.com/office/drawing/2014/main" id="{00000000-0008-0000-1900-0000297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66675</xdr:rowOff>
        </xdr:from>
        <xdr:to>
          <xdr:col>13</xdr:col>
          <xdr:colOff>190500</xdr:colOff>
          <xdr:row>21</xdr:row>
          <xdr:rowOff>457200</xdr:rowOff>
        </xdr:to>
        <xdr:sp macro="" textlink="">
          <xdr:nvSpPr>
            <xdr:cNvPr id="621610" name="Scroll Bar 89" hidden="1">
              <a:extLst>
                <a:ext uri="{63B3BB69-23CF-44E3-9099-C40C66FF867C}">
                  <a14:compatExt spid="_x0000_s621610"/>
                </a:ext>
                <a:ext uri="{FF2B5EF4-FFF2-40B4-BE49-F238E27FC236}">
                  <a16:creationId xmlns:a16="http://schemas.microsoft.com/office/drawing/2014/main" id="{00000000-0008-0000-1900-00002A7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22</xdr:row>
          <xdr:rowOff>66675</xdr:rowOff>
        </xdr:from>
        <xdr:to>
          <xdr:col>13</xdr:col>
          <xdr:colOff>200025</xdr:colOff>
          <xdr:row>22</xdr:row>
          <xdr:rowOff>457200</xdr:rowOff>
        </xdr:to>
        <xdr:sp macro="" textlink="">
          <xdr:nvSpPr>
            <xdr:cNvPr id="621611" name="Scroll Bar 90" hidden="1">
              <a:extLst>
                <a:ext uri="{63B3BB69-23CF-44E3-9099-C40C66FF867C}">
                  <a14:compatExt spid="_x0000_s621611"/>
                </a:ext>
                <a:ext uri="{FF2B5EF4-FFF2-40B4-BE49-F238E27FC236}">
                  <a16:creationId xmlns:a16="http://schemas.microsoft.com/office/drawing/2014/main" id="{00000000-0008-0000-1900-00002B7C0900}"/>
                </a:ext>
              </a:extLst>
            </xdr:cNvPr>
            <xdr:cNvSpPr/>
          </xdr:nvSpPr>
          <xdr:spPr bwMode="auto">
            <a:xfrm>
              <a:off x="0" y="0"/>
              <a:ext cx="0" cy="0"/>
            </a:xfrm>
            <a:prstGeom prst="rect">
              <a:avLst/>
            </a:prstGeom>
            <a:noFill/>
            <a:ln w="9525">
              <a:miter lim="800000"/>
              <a:headEnd/>
              <a:tailEnd/>
            </a:ln>
          </xdr:spPr>
        </xdr:sp>
        <xdr:clientData fLocksWithSheet="0"/>
      </xdr:twoCellAnchor>
    </mc:Choice>
    <mc:Fallback/>
  </mc:AlternateContent>
  <xdr:twoCellAnchor editAs="oneCell">
    <xdr:from>
      <xdr:col>1</xdr:col>
      <xdr:colOff>131885</xdr:colOff>
      <xdr:row>4</xdr:row>
      <xdr:rowOff>92310</xdr:rowOff>
    </xdr:from>
    <xdr:to>
      <xdr:col>12</xdr:col>
      <xdr:colOff>710712</xdr:colOff>
      <xdr:row>18</xdr:row>
      <xdr:rowOff>141410</xdr:rowOff>
    </xdr:to>
    <xdr:pic>
      <xdr:nvPicPr>
        <xdr:cNvPr id="53" name="Image 52">
          <a:extLst>
            <a:ext uri="{FF2B5EF4-FFF2-40B4-BE49-F238E27FC236}">
              <a16:creationId xmlns:a16="http://schemas.microsoft.com/office/drawing/2014/main" id="{00000000-0008-0000-19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3827" y="898272"/>
          <a:ext cx="8960827" cy="2305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10466</xdr:colOff>
      <xdr:row>0</xdr:row>
      <xdr:rowOff>10467</xdr:rowOff>
    </xdr:from>
    <xdr:to>
      <xdr:col>23</xdr:col>
      <xdr:colOff>607685</xdr:colOff>
      <xdr:row>62</xdr:row>
      <xdr:rowOff>39631</xdr:rowOff>
    </xdr:to>
    <xdr:graphicFrame macro="">
      <xdr:nvGraphicFramePr>
        <xdr:cNvPr id="3" name="Graphique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0</xdr:col>
          <xdr:colOff>581025</xdr:colOff>
          <xdr:row>0</xdr:row>
          <xdr:rowOff>104775</xdr:rowOff>
        </xdr:from>
        <xdr:to>
          <xdr:col>4</xdr:col>
          <xdr:colOff>123825</xdr:colOff>
          <xdr:row>2</xdr:row>
          <xdr:rowOff>123825</xdr:rowOff>
        </xdr:to>
        <xdr:sp macro="" textlink="">
          <xdr:nvSpPr>
            <xdr:cNvPr id="603139" name="Button 3" hidden="1">
              <a:extLst>
                <a:ext uri="{63B3BB69-23CF-44E3-9099-C40C66FF867C}">
                  <a14:compatExt spid="_x0000_s603139"/>
                </a:ext>
                <a:ext uri="{FF2B5EF4-FFF2-40B4-BE49-F238E27FC236}">
                  <a16:creationId xmlns:a16="http://schemas.microsoft.com/office/drawing/2014/main" id="{00000000-0008-0000-1A00-00000334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8000"/>
                  </a:solidFill>
                  <a:latin typeface="Arial"/>
                  <a:cs typeface="Arial"/>
                </a:rPr>
                <a:t>Saisie du poids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381000</xdr:colOff>
          <xdr:row>0</xdr:row>
          <xdr:rowOff>85725</xdr:rowOff>
        </xdr:from>
        <xdr:to>
          <xdr:col>8</xdr:col>
          <xdr:colOff>28575</xdr:colOff>
          <xdr:row>2</xdr:row>
          <xdr:rowOff>114300</xdr:rowOff>
        </xdr:to>
        <xdr:sp macro="" textlink="">
          <xdr:nvSpPr>
            <xdr:cNvPr id="603140" name="Button 4" descr="Accueil" hidden="1">
              <a:extLst>
                <a:ext uri="{63B3BB69-23CF-44E3-9099-C40C66FF867C}">
                  <a14:compatExt spid="_x0000_s603140"/>
                </a:ext>
                <a:ext uri="{FF2B5EF4-FFF2-40B4-BE49-F238E27FC236}">
                  <a16:creationId xmlns:a16="http://schemas.microsoft.com/office/drawing/2014/main" id="{00000000-0008-0000-1A00-00000434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8000"/>
                  </a:solidFill>
                  <a:latin typeface="Arial"/>
                  <a:cs typeface="Arial"/>
                </a:rPr>
                <a:t>Accueil</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1476375</xdr:colOff>
          <xdr:row>2</xdr:row>
          <xdr:rowOff>333375</xdr:rowOff>
        </xdr:from>
        <xdr:to>
          <xdr:col>3</xdr:col>
          <xdr:colOff>38100</xdr:colOff>
          <xdr:row>4</xdr:row>
          <xdr:rowOff>47625</xdr:rowOff>
        </xdr:to>
        <xdr:sp macro="" textlink="">
          <xdr:nvSpPr>
            <xdr:cNvPr id="631810" name="Drop Down 2" hidden="1">
              <a:extLst>
                <a:ext uri="{63B3BB69-23CF-44E3-9099-C40C66FF867C}">
                  <a14:compatExt spid="_x0000_s631810"/>
                </a:ext>
                <a:ext uri="{FF2B5EF4-FFF2-40B4-BE49-F238E27FC236}">
                  <a16:creationId xmlns:a16="http://schemas.microsoft.com/office/drawing/2014/main" id="{00000000-0008-0000-1B00-000002A4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990600</xdr:colOff>
          <xdr:row>5</xdr:row>
          <xdr:rowOff>238125</xdr:rowOff>
        </xdr:from>
        <xdr:to>
          <xdr:col>4</xdr:col>
          <xdr:colOff>123825</xdr:colOff>
          <xdr:row>7</xdr:row>
          <xdr:rowOff>85725</xdr:rowOff>
        </xdr:to>
        <xdr:sp macro="" textlink="">
          <xdr:nvSpPr>
            <xdr:cNvPr id="631819" name="Button 11" hidden="1">
              <a:extLst>
                <a:ext uri="{63B3BB69-23CF-44E3-9099-C40C66FF867C}">
                  <a14:compatExt spid="_x0000_s631819"/>
                </a:ext>
                <a:ext uri="{FF2B5EF4-FFF2-40B4-BE49-F238E27FC236}">
                  <a16:creationId xmlns:a16="http://schemas.microsoft.com/office/drawing/2014/main" id="{00000000-0008-0000-1B00-00000BA409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CH" sz="1600" b="0" i="0" u="none" strike="noStrike" baseline="0">
                  <a:solidFill>
                    <a:srgbClr val="000000"/>
                  </a:solidFill>
                  <a:latin typeface="Arial"/>
                  <a:cs typeface="Arial"/>
                </a:rPr>
                <a:t>Valider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733425</xdr:colOff>
          <xdr:row>8</xdr:row>
          <xdr:rowOff>238125</xdr:rowOff>
        </xdr:from>
        <xdr:to>
          <xdr:col>4</xdr:col>
          <xdr:colOff>104775</xdr:colOff>
          <xdr:row>11</xdr:row>
          <xdr:rowOff>85725</xdr:rowOff>
        </xdr:to>
        <xdr:sp macro="" textlink="">
          <xdr:nvSpPr>
            <xdr:cNvPr id="631820" name="Button 12" hidden="1">
              <a:extLst>
                <a:ext uri="{63B3BB69-23CF-44E3-9099-C40C66FF867C}">
                  <a14:compatExt spid="_x0000_s631820"/>
                </a:ext>
                <a:ext uri="{FF2B5EF4-FFF2-40B4-BE49-F238E27FC236}">
                  <a16:creationId xmlns:a16="http://schemas.microsoft.com/office/drawing/2014/main" id="{00000000-0008-0000-1B00-00000CA409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CH" sz="1600" b="0" i="0" u="none" strike="noStrike" baseline="0">
                  <a:solidFill>
                    <a:srgbClr val="000000"/>
                  </a:solidFill>
                  <a:latin typeface="Arial"/>
                  <a:cs typeface="Arial"/>
                </a:rPr>
                <a:t>Annuler et revenir à la courbe de poids</a:t>
              </a:r>
            </a:p>
          </xdr:txBody>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352425</xdr:colOff>
          <xdr:row>3</xdr:row>
          <xdr:rowOff>85725</xdr:rowOff>
        </xdr:from>
        <xdr:to>
          <xdr:col>2</xdr:col>
          <xdr:colOff>600075</xdr:colOff>
          <xdr:row>3</xdr:row>
          <xdr:rowOff>276225</xdr:rowOff>
        </xdr:to>
        <xdr:sp macro="" textlink="">
          <xdr:nvSpPr>
            <xdr:cNvPr id="604161" name="Option Button 1" hidden="1">
              <a:extLst>
                <a:ext uri="{63B3BB69-23CF-44E3-9099-C40C66FF867C}">
                  <a14:compatExt spid="_x0000_s604161"/>
                </a:ext>
                <a:ext uri="{FF2B5EF4-FFF2-40B4-BE49-F238E27FC236}">
                  <a16:creationId xmlns:a16="http://schemas.microsoft.com/office/drawing/2014/main" id="{00000000-0008-0000-1C00-00000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fr-CH" sz="1000" b="0" i="0" u="none" strike="noStrike" baseline="0">
                  <a:solidFill>
                    <a:srgbClr val="000000"/>
                  </a:solidFill>
                  <a:latin typeface="Arial"/>
                  <a:cs typeface="Arial"/>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xdr:row>
          <xdr:rowOff>76200</xdr:rowOff>
        </xdr:from>
        <xdr:to>
          <xdr:col>3</xdr:col>
          <xdr:colOff>600075</xdr:colOff>
          <xdr:row>3</xdr:row>
          <xdr:rowOff>276225</xdr:rowOff>
        </xdr:to>
        <xdr:sp macro="" textlink="">
          <xdr:nvSpPr>
            <xdr:cNvPr id="604162" name="Option Button 2" hidden="1">
              <a:extLst>
                <a:ext uri="{63B3BB69-23CF-44E3-9099-C40C66FF867C}">
                  <a14:compatExt spid="_x0000_s604162"/>
                </a:ext>
                <a:ext uri="{FF2B5EF4-FFF2-40B4-BE49-F238E27FC236}">
                  <a16:creationId xmlns:a16="http://schemas.microsoft.com/office/drawing/2014/main" id="{00000000-0008-0000-1C00-00000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66675</xdr:rowOff>
        </xdr:from>
        <xdr:to>
          <xdr:col>4</xdr:col>
          <xdr:colOff>600075</xdr:colOff>
          <xdr:row>3</xdr:row>
          <xdr:rowOff>276225</xdr:rowOff>
        </xdr:to>
        <xdr:sp macro="" textlink="">
          <xdr:nvSpPr>
            <xdr:cNvPr id="604163" name="Option Button 3" hidden="1">
              <a:extLst>
                <a:ext uri="{63B3BB69-23CF-44E3-9099-C40C66FF867C}">
                  <a14:compatExt spid="_x0000_s604163"/>
                </a:ext>
                <a:ext uri="{FF2B5EF4-FFF2-40B4-BE49-F238E27FC236}">
                  <a16:creationId xmlns:a16="http://schemas.microsoft.com/office/drawing/2014/main" id="{00000000-0008-0000-1C00-00000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66675</xdr:rowOff>
        </xdr:from>
        <xdr:to>
          <xdr:col>5</xdr:col>
          <xdr:colOff>600075</xdr:colOff>
          <xdr:row>3</xdr:row>
          <xdr:rowOff>276225</xdr:rowOff>
        </xdr:to>
        <xdr:sp macro="" textlink="">
          <xdr:nvSpPr>
            <xdr:cNvPr id="604164" name="Option Button 4" hidden="1">
              <a:extLst>
                <a:ext uri="{63B3BB69-23CF-44E3-9099-C40C66FF867C}">
                  <a14:compatExt spid="_x0000_s604164"/>
                </a:ext>
                <a:ext uri="{FF2B5EF4-FFF2-40B4-BE49-F238E27FC236}">
                  <a16:creationId xmlns:a16="http://schemas.microsoft.com/office/drawing/2014/main" id="{00000000-0008-0000-1C00-00000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xdr:row>
          <xdr:rowOff>66675</xdr:rowOff>
        </xdr:from>
        <xdr:to>
          <xdr:col>6</xdr:col>
          <xdr:colOff>609600</xdr:colOff>
          <xdr:row>3</xdr:row>
          <xdr:rowOff>295275</xdr:rowOff>
        </xdr:to>
        <xdr:sp macro="" textlink="">
          <xdr:nvSpPr>
            <xdr:cNvPr id="604165" name="Option Button 5" hidden="1">
              <a:extLst>
                <a:ext uri="{63B3BB69-23CF-44E3-9099-C40C66FF867C}">
                  <a14:compatExt spid="_x0000_s604165"/>
                </a:ext>
                <a:ext uri="{FF2B5EF4-FFF2-40B4-BE49-F238E27FC236}">
                  <a16:creationId xmlns:a16="http://schemas.microsoft.com/office/drawing/2014/main" id="{00000000-0008-0000-1C00-00000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xdr:row>
          <xdr:rowOff>47625</xdr:rowOff>
        </xdr:from>
        <xdr:to>
          <xdr:col>7</xdr:col>
          <xdr:colOff>600075</xdr:colOff>
          <xdr:row>3</xdr:row>
          <xdr:rowOff>295275</xdr:rowOff>
        </xdr:to>
        <xdr:sp macro="" textlink="">
          <xdr:nvSpPr>
            <xdr:cNvPr id="604166" name="Option Button 6" hidden="1">
              <a:extLst>
                <a:ext uri="{63B3BB69-23CF-44E3-9099-C40C66FF867C}">
                  <a14:compatExt spid="_x0000_s604166"/>
                </a:ext>
                <a:ext uri="{FF2B5EF4-FFF2-40B4-BE49-F238E27FC236}">
                  <a16:creationId xmlns:a16="http://schemas.microsoft.com/office/drawing/2014/main" id="{00000000-0008-0000-1C00-00000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11</xdr:col>
          <xdr:colOff>200025</xdr:colOff>
          <xdr:row>4</xdr:row>
          <xdr:rowOff>0</xdr:rowOff>
        </xdr:to>
        <xdr:sp macro="" textlink="">
          <xdr:nvSpPr>
            <xdr:cNvPr id="604167" name="Group Box 7" hidden="1">
              <a:extLst>
                <a:ext uri="{63B3BB69-23CF-44E3-9099-C40C66FF867C}">
                  <a14:compatExt spid="_x0000_s604167"/>
                </a:ext>
                <a:ext uri="{FF2B5EF4-FFF2-40B4-BE49-F238E27FC236}">
                  <a16:creationId xmlns:a16="http://schemas.microsoft.com/office/drawing/2014/main" id="{00000000-0008-0000-1C00-000007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4</xdr:row>
          <xdr:rowOff>85725</xdr:rowOff>
        </xdr:from>
        <xdr:to>
          <xdr:col>2</xdr:col>
          <xdr:colOff>600075</xdr:colOff>
          <xdr:row>4</xdr:row>
          <xdr:rowOff>295275</xdr:rowOff>
        </xdr:to>
        <xdr:sp macro="" textlink="">
          <xdr:nvSpPr>
            <xdr:cNvPr id="604168" name="Option Button 8" hidden="1">
              <a:extLst>
                <a:ext uri="{63B3BB69-23CF-44E3-9099-C40C66FF867C}">
                  <a14:compatExt spid="_x0000_s604168"/>
                </a:ext>
                <a:ext uri="{FF2B5EF4-FFF2-40B4-BE49-F238E27FC236}">
                  <a16:creationId xmlns:a16="http://schemas.microsoft.com/office/drawing/2014/main" id="{00000000-0008-0000-1C00-00000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xdr:row>
          <xdr:rowOff>76200</xdr:rowOff>
        </xdr:from>
        <xdr:to>
          <xdr:col>3</xdr:col>
          <xdr:colOff>600075</xdr:colOff>
          <xdr:row>4</xdr:row>
          <xdr:rowOff>295275</xdr:rowOff>
        </xdr:to>
        <xdr:sp macro="" textlink="">
          <xdr:nvSpPr>
            <xdr:cNvPr id="604169" name="Option Button 9" hidden="1">
              <a:extLst>
                <a:ext uri="{63B3BB69-23CF-44E3-9099-C40C66FF867C}">
                  <a14:compatExt spid="_x0000_s604169"/>
                </a:ext>
                <a:ext uri="{FF2B5EF4-FFF2-40B4-BE49-F238E27FC236}">
                  <a16:creationId xmlns:a16="http://schemas.microsoft.com/office/drawing/2014/main" id="{00000000-0008-0000-1C00-00000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xdr:row>
          <xdr:rowOff>66675</xdr:rowOff>
        </xdr:from>
        <xdr:to>
          <xdr:col>4</xdr:col>
          <xdr:colOff>600075</xdr:colOff>
          <xdr:row>4</xdr:row>
          <xdr:rowOff>295275</xdr:rowOff>
        </xdr:to>
        <xdr:sp macro="" textlink="">
          <xdr:nvSpPr>
            <xdr:cNvPr id="604170" name="Option Button 10" hidden="1">
              <a:extLst>
                <a:ext uri="{63B3BB69-23CF-44E3-9099-C40C66FF867C}">
                  <a14:compatExt spid="_x0000_s604170"/>
                </a:ext>
                <a:ext uri="{FF2B5EF4-FFF2-40B4-BE49-F238E27FC236}">
                  <a16:creationId xmlns:a16="http://schemas.microsoft.com/office/drawing/2014/main" id="{00000000-0008-0000-1C00-00000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4</xdr:row>
          <xdr:rowOff>66675</xdr:rowOff>
        </xdr:from>
        <xdr:to>
          <xdr:col>5</xdr:col>
          <xdr:colOff>600075</xdr:colOff>
          <xdr:row>4</xdr:row>
          <xdr:rowOff>295275</xdr:rowOff>
        </xdr:to>
        <xdr:sp macro="" textlink="">
          <xdr:nvSpPr>
            <xdr:cNvPr id="604171" name="Option Button 11" hidden="1">
              <a:extLst>
                <a:ext uri="{63B3BB69-23CF-44E3-9099-C40C66FF867C}">
                  <a14:compatExt spid="_x0000_s604171"/>
                </a:ext>
                <a:ext uri="{FF2B5EF4-FFF2-40B4-BE49-F238E27FC236}">
                  <a16:creationId xmlns:a16="http://schemas.microsoft.com/office/drawing/2014/main" id="{00000000-0008-0000-1C00-00000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4</xdr:row>
          <xdr:rowOff>66675</xdr:rowOff>
        </xdr:from>
        <xdr:to>
          <xdr:col>6</xdr:col>
          <xdr:colOff>609600</xdr:colOff>
          <xdr:row>4</xdr:row>
          <xdr:rowOff>295275</xdr:rowOff>
        </xdr:to>
        <xdr:sp macro="" textlink="">
          <xdr:nvSpPr>
            <xdr:cNvPr id="604172" name="Option Button 12" hidden="1">
              <a:extLst>
                <a:ext uri="{63B3BB69-23CF-44E3-9099-C40C66FF867C}">
                  <a14:compatExt spid="_x0000_s604172"/>
                </a:ext>
                <a:ext uri="{FF2B5EF4-FFF2-40B4-BE49-F238E27FC236}">
                  <a16:creationId xmlns:a16="http://schemas.microsoft.com/office/drawing/2014/main" id="{00000000-0008-0000-1C00-00000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4</xdr:row>
          <xdr:rowOff>47625</xdr:rowOff>
        </xdr:from>
        <xdr:to>
          <xdr:col>7</xdr:col>
          <xdr:colOff>600075</xdr:colOff>
          <xdr:row>4</xdr:row>
          <xdr:rowOff>295275</xdr:rowOff>
        </xdr:to>
        <xdr:sp macro="" textlink="">
          <xdr:nvSpPr>
            <xdr:cNvPr id="604173" name="Option Button 13" hidden="1">
              <a:extLst>
                <a:ext uri="{63B3BB69-23CF-44E3-9099-C40C66FF867C}">
                  <a14:compatExt spid="_x0000_s604173"/>
                </a:ext>
                <a:ext uri="{FF2B5EF4-FFF2-40B4-BE49-F238E27FC236}">
                  <a16:creationId xmlns:a16="http://schemas.microsoft.com/office/drawing/2014/main" id="{00000000-0008-0000-1C00-00000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xdr:row>
          <xdr:rowOff>9525</xdr:rowOff>
        </xdr:from>
        <xdr:to>
          <xdr:col>11</xdr:col>
          <xdr:colOff>333375</xdr:colOff>
          <xdr:row>5</xdr:row>
          <xdr:rowOff>9525</xdr:rowOff>
        </xdr:to>
        <xdr:sp macro="" textlink="">
          <xdr:nvSpPr>
            <xdr:cNvPr id="604174" name="Group Box 14" hidden="1">
              <a:extLst>
                <a:ext uri="{63B3BB69-23CF-44E3-9099-C40C66FF867C}">
                  <a14:compatExt spid="_x0000_s604174"/>
                </a:ext>
                <a:ext uri="{FF2B5EF4-FFF2-40B4-BE49-F238E27FC236}">
                  <a16:creationId xmlns:a16="http://schemas.microsoft.com/office/drawing/2014/main" id="{00000000-0008-0000-1C00-00000E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xdr:row>
          <xdr:rowOff>76200</xdr:rowOff>
        </xdr:from>
        <xdr:to>
          <xdr:col>2</xdr:col>
          <xdr:colOff>619125</xdr:colOff>
          <xdr:row>5</xdr:row>
          <xdr:rowOff>295275</xdr:rowOff>
        </xdr:to>
        <xdr:sp macro="" textlink="">
          <xdr:nvSpPr>
            <xdr:cNvPr id="604175" name="Option Button 15" hidden="1">
              <a:extLst>
                <a:ext uri="{63B3BB69-23CF-44E3-9099-C40C66FF867C}">
                  <a14:compatExt spid="_x0000_s604175"/>
                </a:ext>
                <a:ext uri="{FF2B5EF4-FFF2-40B4-BE49-F238E27FC236}">
                  <a16:creationId xmlns:a16="http://schemas.microsoft.com/office/drawing/2014/main" id="{00000000-0008-0000-1C00-00000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xdr:row>
          <xdr:rowOff>66675</xdr:rowOff>
        </xdr:from>
        <xdr:to>
          <xdr:col>3</xdr:col>
          <xdr:colOff>619125</xdr:colOff>
          <xdr:row>5</xdr:row>
          <xdr:rowOff>295275</xdr:rowOff>
        </xdr:to>
        <xdr:sp macro="" textlink="">
          <xdr:nvSpPr>
            <xdr:cNvPr id="604176" name="Option Button 16" hidden="1">
              <a:extLst>
                <a:ext uri="{63B3BB69-23CF-44E3-9099-C40C66FF867C}">
                  <a14:compatExt spid="_x0000_s604176"/>
                </a:ext>
                <a:ext uri="{FF2B5EF4-FFF2-40B4-BE49-F238E27FC236}">
                  <a16:creationId xmlns:a16="http://schemas.microsoft.com/office/drawing/2014/main" id="{00000000-0008-0000-1C00-00001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5</xdr:row>
          <xdr:rowOff>66675</xdr:rowOff>
        </xdr:from>
        <xdr:to>
          <xdr:col>4</xdr:col>
          <xdr:colOff>609600</xdr:colOff>
          <xdr:row>5</xdr:row>
          <xdr:rowOff>295275</xdr:rowOff>
        </xdr:to>
        <xdr:sp macro="" textlink="">
          <xdr:nvSpPr>
            <xdr:cNvPr id="604177" name="Option Button 17" hidden="1">
              <a:extLst>
                <a:ext uri="{63B3BB69-23CF-44E3-9099-C40C66FF867C}">
                  <a14:compatExt spid="_x0000_s604177"/>
                </a:ext>
                <a:ext uri="{FF2B5EF4-FFF2-40B4-BE49-F238E27FC236}">
                  <a16:creationId xmlns:a16="http://schemas.microsoft.com/office/drawing/2014/main" id="{00000000-0008-0000-1C00-00001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xdr:row>
          <xdr:rowOff>66675</xdr:rowOff>
        </xdr:from>
        <xdr:to>
          <xdr:col>5</xdr:col>
          <xdr:colOff>609600</xdr:colOff>
          <xdr:row>5</xdr:row>
          <xdr:rowOff>266700</xdr:rowOff>
        </xdr:to>
        <xdr:sp macro="" textlink="">
          <xdr:nvSpPr>
            <xdr:cNvPr id="604178" name="Option Button 18" hidden="1">
              <a:extLst>
                <a:ext uri="{63B3BB69-23CF-44E3-9099-C40C66FF867C}">
                  <a14:compatExt spid="_x0000_s604178"/>
                </a:ext>
                <a:ext uri="{FF2B5EF4-FFF2-40B4-BE49-F238E27FC236}">
                  <a16:creationId xmlns:a16="http://schemas.microsoft.com/office/drawing/2014/main" id="{00000000-0008-0000-1C00-00001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xdr:row>
          <xdr:rowOff>66675</xdr:rowOff>
        </xdr:from>
        <xdr:to>
          <xdr:col>6</xdr:col>
          <xdr:colOff>581025</xdr:colOff>
          <xdr:row>5</xdr:row>
          <xdr:rowOff>276225</xdr:rowOff>
        </xdr:to>
        <xdr:sp macro="" textlink="">
          <xdr:nvSpPr>
            <xdr:cNvPr id="604179" name="Option Button 19" hidden="1">
              <a:extLst>
                <a:ext uri="{63B3BB69-23CF-44E3-9099-C40C66FF867C}">
                  <a14:compatExt spid="_x0000_s604179"/>
                </a:ext>
                <a:ext uri="{FF2B5EF4-FFF2-40B4-BE49-F238E27FC236}">
                  <a16:creationId xmlns:a16="http://schemas.microsoft.com/office/drawing/2014/main" id="{00000000-0008-0000-1C00-00001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5</xdr:row>
          <xdr:rowOff>38100</xdr:rowOff>
        </xdr:from>
        <xdr:to>
          <xdr:col>7</xdr:col>
          <xdr:colOff>619125</xdr:colOff>
          <xdr:row>5</xdr:row>
          <xdr:rowOff>295275</xdr:rowOff>
        </xdr:to>
        <xdr:sp macro="" textlink="">
          <xdr:nvSpPr>
            <xdr:cNvPr id="604180" name="Option Button 20" hidden="1">
              <a:extLst>
                <a:ext uri="{63B3BB69-23CF-44E3-9099-C40C66FF867C}">
                  <a14:compatExt spid="_x0000_s604180"/>
                </a:ext>
                <a:ext uri="{FF2B5EF4-FFF2-40B4-BE49-F238E27FC236}">
                  <a16:creationId xmlns:a16="http://schemas.microsoft.com/office/drawing/2014/main" id="{00000000-0008-0000-1C00-00001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xdr:row>
          <xdr:rowOff>76200</xdr:rowOff>
        </xdr:from>
        <xdr:to>
          <xdr:col>2</xdr:col>
          <xdr:colOff>619125</xdr:colOff>
          <xdr:row>6</xdr:row>
          <xdr:rowOff>295275</xdr:rowOff>
        </xdr:to>
        <xdr:sp macro="" textlink="">
          <xdr:nvSpPr>
            <xdr:cNvPr id="604181" name="Option Button 21" hidden="1">
              <a:extLst>
                <a:ext uri="{63B3BB69-23CF-44E3-9099-C40C66FF867C}">
                  <a14:compatExt spid="_x0000_s604181"/>
                </a:ext>
                <a:ext uri="{FF2B5EF4-FFF2-40B4-BE49-F238E27FC236}">
                  <a16:creationId xmlns:a16="http://schemas.microsoft.com/office/drawing/2014/main" id="{00000000-0008-0000-1C00-00001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xdr:row>
          <xdr:rowOff>66675</xdr:rowOff>
        </xdr:from>
        <xdr:to>
          <xdr:col>3</xdr:col>
          <xdr:colOff>619125</xdr:colOff>
          <xdr:row>6</xdr:row>
          <xdr:rowOff>295275</xdr:rowOff>
        </xdr:to>
        <xdr:sp macro="" textlink="">
          <xdr:nvSpPr>
            <xdr:cNvPr id="604182" name="Option Button 22" hidden="1">
              <a:extLst>
                <a:ext uri="{63B3BB69-23CF-44E3-9099-C40C66FF867C}">
                  <a14:compatExt spid="_x0000_s604182"/>
                </a:ext>
                <a:ext uri="{FF2B5EF4-FFF2-40B4-BE49-F238E27FC236}">
                  <a16:creationId xmlns:a16="http://schemas.microsoft.com/office/drawing/2014/main" id="{00000000-0008-0000-1C00-00001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6</xdr:row>
          <xdr:rowOff>66675</xdr:rowOff>
        </xdr:from>
        <xdr:to>
          <xdr:col>4</xdr:col>
          <xdr:colOff>609600</xdr:colOff>
          <xdr:row>6</xdr:row>
          <xdr:rowOff>295275</xdr:rowOff>
        </xdr:to>
        <xdr:sp macro="" textlink="">
          <xdr:nvSpPr>
            <xdr:cNvPr id="604183" name="Option Button 23" hidden="1">
              <a:extLst>
                <a:ext uri="{63B3BB69-23CF-44E3-9099-C40C66FF867C}">
                  <a14:compatExt spid="_x0000_s604183"/>
                </a:ext>
                <a:ext uri="{FF2B5EF4-FFF2-40B4-BE49-F238E27FC236}">
                  <a16:creationId xmlns:a16="http://schemas.microsoft.com/office/drawing/2014/main" id="{00000000-0008-0000-1C00-00001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6</xdr:row>
          <xdr:rowOff>47625</xdr:rowOff>
        </xdr:from>
        <xdr:to>
          <xdr:col>5</xdr:col>
          <xdr:colOff>600075</xdr:colOff>
          <xdr:row>6</xdr:row>
          <xdr:rowOff>295275</xdr:rowOff>
        </xdr:to>
        <xdr:sp macro="" textlink="">
          <xdr:nvSpPr>
            <xdr:cNvPr id="604184" name="Option Button 24" hidden="1">
              <a:extLst>
                <a:ext uri="{63B3BB69-23CF-44E3-9099-C40C66FF867C}">
                  <a14:compatExt spid="_x0000_s604184"/>
                </a:ext>
                <a:ext uri="{FF2B5EF4-FFF2-40B4-BE49-F238E27FC236}">
                  <a16:creationId xmlns:a16="http://schemas.microsoft.com/office/drawing/2014/main" id="{00000000-0008-0000-1C00-00001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6</xdr:row>
          <xdr:rowOff>66675</xdr:rowOff>
        </xdr:from>
        <xdr:to>
          <xdr:col>6</xdr:col>
          <xdr:colOff>619125</xdr:colOff>
          <xdr:row>6</xdr:row>
          <xdr:rowOff>276225</xdr:rowOff>
        </xdr:to>
        <xdr:sp macro="" textlink="">
          <xdr:nvSpPr>
            <xdr:cNvPr id="604185" name="Option Button 25" hidden="1">
              <a:extLst>
                <a:ext uri="{63B3BB69-23CF-44E3-9099-C40C66FF867C}">
                  <a14:compatExt spid="_x0000_s604185"/>
                </a:ext>
                <a:ext uri="{FF2B5EF4-FFF2-40B4-BE49-F238E27FC236}">
                  <a16:creationId xmlns:a16="http://schemas.microsoft.com/office/drawing/2014/main" id="{00000000-0008-0000-1C00-00001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6</xdr:row>
          <xdr:rowOff>66675</xdr:rowOff>
        </xdr:from>
        <xdr:to>
          <xdr:col>7</xdr:col>
          <xdr:colOff>600075</xdr:colOff>
          <xdr:row>6</xdr:row>
          <xdr:rowOff>295275</xdr:rowOff>
        </xdr:to>
        <xdr:sp macro="" textlink="">
          <xdr:nvSpPr>
            <xdr:cNvPr id="604186" name="Option Button 26" hidden="1">
              <a:extLst>
                <a:ext uri="{63B3BB69-23CF-44E3-9099-C40C66FF867C}">
                  <a14:compatExt spid="_x0000_s604186"/>
                </a:ext>
                <a:ext uri="{FF2B5EF4-FFF2-40B4-BE49-F238E27FC236}">
                  <a16:creationId xmlns:a16="http://schemas.microsoft.com/office/drawing/2014/main" id="{00000000-0008-0000-1C00-00001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7</xdr:row>
          <xdr:rowOff>66675</xdr:rowOff>
        </xdr:from>
        <xdr:to>
          <xdr:col>2</xdr:col>
          <xdr:colOff>619125</xdr:colOff>
          <xdr:row>7</xdr:row>
          <xdr:rowOff>295275</xdr:rowOff>
        </xdr:to>
        <xdr:sp macro="" textlink="">
          <xdr:nvSpPr>
            <xdr:cNvPr id="604187" name="Option Button 27" hidden="1">
              <a:extLst>
                <a:ext uri="{63B3BB69-23CF-44E3-9099-C40C66FF867C}">
                  <a14:compatExt spid="_x0000_s604187"/>
                </a:ext>
                <a:ext uri="{FF2B5EF4-FFF2-40B4-BE49-F238E27FC236}">
                  <a16:creationId xmlns:a16="http://schemas.microsoft.com/office/drawing/2014/main" id="{00000000-0008-0000-1C00-00001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xdr:row>
          <xdr:rowOff>66675</xdr:rowOff>
        </xdr:from>
        <xdr:to>
          <xdr:col>3</xdr:col>
          <xdr:colOff>619125</xdr:colOff>
          <xdr:row>7</xdr:row>
          <xdr:rowOff>295275</xdr:rowOff>
        </xdr:to>
        <xdr:sp macro="" textlink="">
          <xdr:nvSpPr>
            <xdr:cNvPr id="604188" name="Option Button 28" hidden="1">
              <a:extLst>
                <a:ext uri="{63B3BB69-23CF-44E3-9099-C40C66FF867C}">
                  <a14:compatExt spid="_x0000_s604188"/>
                </a:ext>
                <a:ext uri="{FF2B5EF4-FFF2-40B4-BE49-F238E27FC236}">
                  <a16:creationId xmlns:a16="http://schemas.microsoft.com/office/drawing/2014/main" id="{00000000-0008-0000-1C00-00001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xdr:row>
          <xdr:rowOff>66675</xdr:rowOff>
        </xdr:from>
        <xdr:to>
          <xdr:col>4</xdr:col>
          <xdr:colOff>581025</xdr:colOff>
          <xdr:row>7</xdr:row>
          <xdr:rowOff>295275</xdr:rowOff>
        </xdr:to>
        <xdr:sp macro="" textlink="">
          <xdr:nvSpPr>
            <xdr:cNvPr id="604189" name="Option Button 29" hidden="1">
              <a:extLst>
                <a:ext uri="{63B3BB69-23CF-44E3-9099-C40C66FF867C}">
                  <a14:compatExt spid="_x0000_s604189"/>
                </a:ext>
                <a:ext uri="{FF2B5EF4-FFF2-40B4-BE49-F238E27FC236}">
                  <a16:creationId xmlns:a16="http://schemas.microsoft.com/office/drawing/2014/main" id="{00000000-0008-0000-1C00-00001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7</xdr:row>
          <xdr:rowOff>47625</xdr:rowOff>
        </xdr:from>
        <xdr:to>
          <xdr:col>5</xdr:col>
          <xdr:colOff>600075</xdr:colOff>
          <xdr:row>7</xdr:row>
          <xdr:rowOff>257175</xdr:rowOff>
        </xdr:to>
        <xdr:sp macro="" textlink="">
          <xdr:nvSpPr>
            <xdr:cNvPr id="604190" name="Option Button 30" hidden="1">
              <a:extLst>
                <a:ext uri="{63B3BB69-23CF-44E3-9099-C40C66FF867C}">
                  <a14:compatExt spid="_x0000_s604190"/>
                </a:ext>
                <a:ext uri="{FF2B5EF4-FFF2-40B4-BE49-F238E27FC236}">
                  <a16:creationId xmlns:a16="http://schemas.microsoft.com/office/drawing/2014/main" id="{00000000-0008-0000-1C00-00001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7</xdr:row>
          <xdr:rowOff>66675</xdr:rowOff>
        </xdr:from>
        <xdr:to>
          <xdr:col>6</xdr:col>
          <xdr:colOff>619125</xdr:colOff>
          <xdr:row>7</xdr:row>
          <xdr:rowOff>295275</xdr:rowOff>
        </xdr:to>
        <xdr:sp macro="" textlink="">
          <xdr:nvSpPr>
            <xdr:cNvPr id="604191" name="Option Button 31" hidden="1">
              <a:extLst>
                <a:ext uri="{63B3BB69-23CF-44E3-9099-C40C66FF867C}">
                  <a14:compatExt spid="_x0000_s604191"/>
                </a:ext>
                <a:ext uri="{FF2B5EF4-FFF2-40B4-BE49-F238E27FC236}">
                  <a16:creationId xmlns:a16="http://schemas.microsoft.com/office/drawing/2014/main" id="{00000000-0008-0000-1C00-00001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7</xdr:row>
          <xdr:rowOff>66675</xdr:rowOff>
        </xdr:from>
        <xdr:to>
          <xdr:col>7</xdr:col>
          <xdr:colOff>571500</xdr:colOff>
          <xdr:row>7</xdr:row>
          <xdr:rowOff>295275</xdr:rowOff>
        </xdr:to>
        <xdr:sp macro="" textlink="">
          <xdr:nvSpPr>
            <xdr:cNvPr id="604192" name="Option Button 32" hidden="1">
              <a:extLst>
                <a:ext uri="{63B3BB69-23CF-44E3-9099-C40C66FF867C}">
                  <a14:compatExt spid="_x0000_s604192"/>
                </a:ext>
                <a:ext uri="{FF2B5EF4-FFF2-40B4-BE49-F238E27FC236}">
                  <a16:creationId xmlns:a16="http://schemas.microsoft.com/office/drawing/2014/main" id="{00000000-0008-0000-1C00-00002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11</xdr:col>
          <xdr:colOff>200025</xdr:colOff>
          <xdr:row>6</xdr:row>
          <xdr:rowOff>0</xdr:rowOff>
        </xdr:to>
        <xdr:sp macro="" textlink="">
          <xdr:nvSpPr>
            <xdr:cNvPr id="604193" name="Group Box 33" hidden="1">
              <a:extLst>
                <a:ext uri="{63B3BB69-23CF-44E3-9099-C40C66FF867C}">
                  <a14:compatExt spid="_x0000_s604193"/>
                </a:ext>
                <a:ext uri="{FF2B5EF4-FFF2-40B4-BE49-F238E27FC236}">
                  <a16:creationId xmlns:a16="http://schemas.microsoft.com/office/drawing/2014/main" id="{00000000-0008-0000-1C00-000021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11</xdr:col>
          <xdr:colOff>200025</xdr:colOff>
          <xdr:row>9</xdr:row>
          <xdr:rowOff>0</xdr:rowOff>
        </xdr:to>
        <xdr:sp macro="" textlink="">
          <xdr:nvSpPr>
            <xdr:cNvPr id="604200" name="Group Box 40" hidden="1">
              <a:extLst>
                <a:ext uri="{63B3BB69-23CF-44E3-9099-C40C66FF867C}">
                  <a14:compatExt spid="_x0000_s604200"/>
                </a:ext>
                <a:ext uri="{FF2B5EF4-FFF2-40B4-BE49-F238E27FC236}">
                  <a16:creationId xmlns:a16="http://schemas.microsoft.com/office/drawing/2014/main" id="{00000000-0008-0000-1C00-000028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8</xdr:row>
          <xdr:rowOff>66675</xdr:rowOff>
        </xdr:from>
        <xdr:to>
          <xdr:col>2</xdr:col>
          <xdr:colOff>609600</xdr:colOff>
          <xdr:row>8</xdr:row>
          <xdr:rowOff>295275</xdr:rowOff>
        </xdr:to>
        <xdr:sp macro="" textlink="">
          <xdr:nvSpPr>
            <xdr:cNvPr id="604194" name="Option Button 34" hidden="1">
              <a:extLst>
                <a:ext uri="{63B3BB69-23CF-44E3-9099-C40C66FF867C}">
                  <a14:compatExt spid="_x0000_s604194"/>
                </a:ext>
                <a:ext uri="{FF2B5EF4-FFF2-40B4-BE49-F238E27FC236}">
                  <a16:creationId xmlns:a16="http://schemas.microsoft.com/office/drawing/2014/main" id="{00000000-0008-0000-1C00-00002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xdr:row>
          <xdr:rowOff>66675</xdr:rowOff>
        </xdr:from>
        <xdr:to>
          <xdr:col>3</xdr:col>
          <xdr:colOff>609600</xdr:colOff>
          <xdr:row>8</xdr:row>
          <xdr:rowOff>295275</xdr:rowOff>
        </xdr:to>
        <xdr:sp macro="" textlink="">
          <xdr:nvSpPr>
            <xdr:cNvPr id="604195" name="Option Button 35" hidden="1">
              <a:extLst>
                <a:ext uri="{63B3BB69-23CF-44E3-9099-C40C66FF867C}">
                  <a14:compatExt spid="_x0000_s604195"/>
                </a:ext>
                <a:ext uri="{FF2B5EF4-FFF2-40B4-BE49-F238E27FC236}">
                  <a16:creationId xmlns:a16="http://schemas.microsoft.com/office/drawing/2014/main" id="{00000000-0008-0000-1C00-00002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8</xdr:row>
          <xdr:rowOff>66675</xdr:rowOff>
        </xdr:from>
        <xdr:to>
          <xdr:col>4</xdr:col>
          <xdr:colOff>600075</xdr:colOff>
          <xdr:row>8</xdr:row>
          <xdr:rowOff>295275</xdr:rowOff>
        </xdr:to>
        <xdr:sp macro="" textlink="">
          <xdr:nvSpPr>
            <xdr:cNvPr id="604196" name="Option Button 36" hidden="1">
              <a:extLst>
                <a:ext uri="{63B3BB69-23CF-44E3-9099-C40C66FF867C}">
                  <a14:compatExt spid="_x0000_s604196"/>
                </a:ext>
                <a:ext uri="{FF2B5EF4-FFF2-40B4-BE49-F238E27FC236}">
                  <a16:creationId xmlns:a16="http://schemas.microsoft.com/office/drawing/2014/main" id="{00000000-0008-0000-1C00-00002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xdr:row>
          <xdr:rowOff>66675</xdr:rowOff>
        </xdr:from>
        <xdr:to>
          <xdr:col>5</xdr:col>
          <xdr:colOff>600075</xdr:colOff>
          <xdr:row>8</xdr:row>
          <xdr:rowOff>276225</xdr:rowOff>
        </xdr:to>
        <xdr:sp macro="" textlink="">
          <xdr:nvSpPr>
            <xdr:cNvPr id="604197" name="Option Button 37" hidden="1">
              <a:extLst>
                <a:ext uri="{63B3BB69-23CF-44E3-9099-C40C66FF867C}">
                  <a14:compatExt spid="_x0000_s604197"/>
                </a:ext>
                <a:ext uri="{FF2B5EF4-FFF2-40B4-BE49-F238E27FC236}">
                  <a16:creationId xmlns:a16="http://schemas.microsoft.com/office/drawing/2014/main" id="{00000000-0008-0000-1C00-00002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8</xdr:row>
          <xdr:rowOff>66675</xdr:rowOff>
        </xdr:from>
        <xdr:to>
          <xdr:col>6</xdr:col>
          <xdr:colOff>571500</xdr:colOff>
          <xdr:row>8</xdr:row>
          <xdr:rowOff>276225</xdr:rowOff>
        </xdr:to>
        <xdr:sp macro="" textlink="">
          <xdr:nvSpPr>
            <xdr:cNvPr id="604198" name="Option Button 38" hidden="1">
              <a:extLst>
                <a:ext uri="{63B3BB69-23CF-44E3-9099-C40C66FF867C}">
                  <a14:compatExt spid="_x0000_s604198"/>
                </a:ext>
                <a:ext uri="{FF2B5EF4-FFF2-40B4-BE49-F238E27FC236}">
                  <a16:creationId xmlns:a16="http://schemas.microsoft.com/office/drawing/2014/main" id="{00000000-0008-0000-1C00-00002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8</xdr:row>
          <xdr:rowOff>47625</xdr:rowOff>
        </xdr:from>
        <xdr:to>
          <xdr:col>7</xdr:col>
          <xdr:colOff>600075</xdr:colOff>
          <xdr:row>8</xdr:row>
          <xdr:rowOff>295275</xdr:rowOff>
        </xdr:to>
        <xdr:sp macro="" textlink="">
          <xdr:nvSpPr>
            <xdr:cNvPr id="604199" name="Option Button 39" hidden="1">
              <a:extLst>
                <a:ext uri="{63B3BB69-23CF-44E3-9099-C40C66FF867C}">
                  <a14:compatExt spid="_x0000_s604199"/>
                </a:ext>
                <a:ext uri="{FF2B5EF4-FFF2-40B4-BE49-F238E27FC236}">
                  <a16:creationId xmlns:a16="http://schemas.microsoft.com/office/drawing/2014/main" id="{00000000-0008-0000-1C00-00002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xdr:row>
          <xdr:rowOff>66675</xdr:rowOff>
        </xdr:from>
        <xdr:to>
          <xdr:col>2</xdr:col>
          <xdr:colOff>609600</xdr:colOff>
          <xdr:row>9</xdr:row>
          <xdr:rowOff>295275</xdr:rowOff>
        </xdr:to>
        <xdr:sp macro="" textlink="">
          <xdr:nvSpPr>
            <xdr:cNvPr id="604201" name="Option Button 41" hidden="1">
              <a:extLst>
                <a:ext uri="{63B3BB69-23CF-44E3-9099-C40C66FF867C}">
                  <a14:compatExt spid="_x0000_s604201"/>
                </a:ext>
                <a:ext uri="{FF2B5EF4-FFF2-40B4-BE49-F238E27FC236}">
                  <a16:creationId xmlns:a16="http://schemas.microsoft.com/office/drawing/2014/main" id="{00000000-0008-0000-1C00-00002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xdr:row>
          <xdr:rowOff>66675</xdr:rowOff>
        </xdr:from>
        <xdr:to>
          <xdr:col>3</xdr:col>
          <xdr:colOff>609600</xdr:colOff>
          <xdr:row>9</xdr:row>
          <xdr:rowOff>295275</xdr:rowOff>
        </xdr:to>
        <xdr:sp macro="" textlink="">
          <xdr:nvSpPr>
            <xdr:cNvPr id="604202" name="Option Button 42" hidden="1">
              <a:extLst>
                <a:ext uri="{63B3BB69-23CF-44E3-9099-C40C66FF867C}">
                  <a14:compatExt spid="_x0000_s604202"/>
                </a:ext>
                <a:ext uri="{FF2B5EF4-FFF2-40B4-BE49-F238E27FC236}">
                  <a16:creationId xmlns:a16="http://schemas.microsoft.com/office/drawing/2014/main" id="{00000000-0008-0000-1C00-00002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9</xdr:row>
          <xdr:rowOff>66675</xdr:rowOff>
        </xdr:from>
        <xdr:to>
          <xdr:col>4</xdr:col>
          <xdr:colOff>600075</xdr:colOff>
          <xdr:row>9</xdr:row>
          <xdr:rowOff>304800</xdr:rowOff>
        </xdr:to>
        <xdr:sp macro="" textlink="">
          <xdr:nvSpPr>
            <xdr:cNvPr id="604203" name="Option Button 43" hidden="1">
              <a:extLst>
                <a:ext uri="{63B3BB69-23CF-44E3-9099-C40C66FF867C}">
                  <a14:compatExt spid="_x0000_s604203"/>
                </a:ext>
                <a:ext uri="{FF2B5EF4-FFF2-40B4-BE49-F238E27FC236}">
                  <a16:creationId xmlns:a16="http://schemas.microsoft.com/office/drawing/2014/main" id="{00000000-0008-0000-1C00-00002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xdr:row>
          <xdr:rowOff>66675</xdr:rowOff>
        </xdr:from>
        <xdr:to>
          <xdr:col>5</xdr:col>
          <xdr:colOff>600075</xdr:colOff>
          <xdr:row>9</xdr:row>
          <xdr:rowOff>295275</xdr:rowOff>
        </xdr:to>
        <xdr:sp macro="" textlink="">
          <xdr:nvSpPr>
            <xdr:cNvPr id="604204" name="Option Button 44" hidden="1">
              <a:extLst>
                <a:ext uri="{63B3BB69-23CF-44E3-9099-C40C66FF867C}">
                  <a14:compatExt spid="_x0000_s604204"/>
                </a:ext>
                <a:ext uri="{FF2B5EF4-FFF2-40B4-BE49-F238E27FC236}">
                  <a16:creationId xmlns:a16="http://schemas.microsoft.com/office/drawing/2014/main" id="{00000000-0008-0000-1C00-00002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9</xdr:row>
          <xdr:rowOff>66675</xdr:rowOff>
        </xdr:from>
        <xdr:to>
          <xdr:col>6</xdr:col>
          <xdr:colOff>571500</xdr:colOff>
          <xdr:row>9</xdr:row>
          <xdr:rowOff>295275</xdr:rowOff>
        </xdr:to>
        <xdr:sp macro="" textlink="">
          <xdr:nvSpPr>
            <xdr:cNvPr id="604205" name="Option Button 45" hidden="1">
              <a:extLst>
                <a:ext uri="{63B3BB69-23CF-44E3-9099-C40C66FF867C}">
                  <a14:compatExt spid="_x0000_s604205"/>
                </a:ext>
                <a:ext uri="{FF2B5EF4-FFF2-40B4-BE49-F238E27FC236}">
                  <a16:creationId xmlns:a16="http://schemas.microsoft.com/office/drawing/2014/main" id="{00000000-0008-0000-1C00-00002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9</xdr:row>
          <xdr:rowOff>47625</xdr:rowOff>
        </xdr:from>
        <xdr:to>
          <xdr:col>7</xdr:col>
          <xdr:colOff>600075</xdr:colOff>
          <xdr:row>9</xdr:row>
          <xdr:rowOff>304800</xdr:rowOff>
        </xdr:to>
        <xdr:sp macro="" textlink="">
          <xdr:nvSpPr>
            <xdr:cNvPr id="604206" name="Option Button 46" hidden="1">
              <a:extLst>
                <a:ext uri="{63B3BB69-23CF-44E3-9099-C40C66FF867C}">
                  <a14:compatExt spid="_x0000_s604206"/>
                </a:ext>
                <a:ext uri="{FF2B5EF4-FFF2-40B4-BE49-F238E27FC236}">
                  <a16:creationId xmlns:a16="http://schemas.microsoft.com/office/drawing/2014/main" id="{00000000-0008-0000-1C00-00002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11</xdr:col>
          <xdr:colOff>200025</xdr:colOff>
          <xdr:row>10</xdr:row>
          <xdr:rowOff>0</xdr:rowOff>
        </xdr:to>
        <xdr:sp macro="" textlink="">
          <xdr:nvSpPr>
            <xdr:cNvPr id="604207" name="Group Box 47" hidden="1">
              <a:extLst>
                <a:ext uri="{63B3BB69-23CF-44E3-9099-C40C66FF867C}">
                  <a14:compatExt spid="_x0000_s604207"/>
                </a:ext>
                <a:ext uri="{FF2B5EF4-FFF2-40B4-BE49-F238E27FC236}">
                  <a16:creationId xmlns:a16="http://schemas.microsoft.com/office/drawing/2014/main" id="{00000000-0008-0000-1C00-00002F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xdr:row>
          <xdr:rowOff>38100</xdr:rowOff>
        </xdr:from>
        <xdr:to>
          <xdr:col>2</xdr:col>
          <xdr:colOff>609600</xdr:colOff>
          <xdr:row>10</xdr:row>
          <xdr:rowOff>276225</xdr:rowOff>
        </xdr:to>
        <xdr:sp macro="" textlink="">
          <xdr:nvSpPr>
            <xdr:cNvPr id="604208" name="Option Button 48" hidden="1">
              <a:extLst>
                <a:ext uri="{63B3BB69-23CF-44E3-9099-C40C66FF867C}">
                  <a14:compatExt spid="_x0000_s604208"/>
                </a:ext>
                <a:ext uri="{FF2B5EF4-FFF2-40B4-BE49-F238E27FC236}">
                  <a16:creationId xmlns:a16="http://schemas.microsoft.com/office/drawing/2014/main" id="{00000000-0008-0000-1C00-00003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xdr:row>
          <xdr:rowOff>28575</xdr:rowOff>
        </xdr:from>
        <xdr:to>
          <xdr:col>3</xdr:col>
          <xdr:colOff>609600</xdr:colOff>
          <xdr:row>10</xdr:row>
          <xdr:rowOff>276225</xdr:rowOff>
        </xdr:to>
        <xdr:sp macro="" textlink="">
          <xdr:nvSpPr>
            <xdr:cNvPr id="604209" name="Option Button 49" hidden="1">
              <a:extLst>
                <a:ext uri="{63B3BB69-23CF-44E3-9099-C40C66FF867C}">
                  <a14:compatExt spid="_x0000_s604209"/>
                </a:ext>
                <a:ext uri="{FF2B5EF4-FFF2-40B4-BE49-F238E27FC236}">
                  <a16:creationId xmlns:a16="http://schemas.microsoft.com/office/drawing/2014/main" id="{00000000-0008-0000-1C00-00003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10</xdr:row>
          <xdr:rowOff>28575</xdr:rowOff>
        </xdr:from>
        <xdr:to>
          <xdr:col>4</xdr:col>
          <xdr:colOff>600075</xdr:colOff>
          <xdr:row>10</xdr:row>
          <xdr:rowOff>295275</xdr:rowOff>
        </xdr:to>
        <xdr:sp macro="" textlink="">
          <xdr:nvSpPr>
            <xdr:cNvPr id="604210" name="Option Button 50" hidden="1">
              <a:extLst>
                <a:ext uri="{63B3BB69-23CF-44E3-9099-C40C66FF867C}">
                  <a14:compatExt spid="_x0000_s604210"/>
                </a:ext>
                <a:ext uri="{FF2B5EF4-FFF2-40B4-BE49-F238E27FC236}">
                  <a16:creationId xmlns:a16="http://schemas.microsoft.com/office/drawing/2014/main" id="{00000000-0008-0000-1C00-00003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xdr:row>
          <xdr:rowOff>38100</xdr:rowOff>
        </xdr:from>
        <xdr:to>
          <xdr:col>5</xdr:col>
          <xdr:colOff>600075</xdr:colOff>
          <xdr:row>10</xdr:row>
          <xdr:rowOff>266700</xdr:rowOff>
        </xdr:to>
        <xdr:sp macro="" textlink="">
          <xdr:nvSpPr>
            <xdr:cNvPr id="604211" name="Option Button 51" hidden="1">
              <a:extLst>
                <a:ext uri="{63B3BB69-23CF-44E3-9099-C40C66FF867C}">
                  <a14:compatExt spid="_x0000_s604211"/>
                </a:ext>
                <a:ext uri="{FF2B5EF4-FFF2-40B4-BE49-F238E27FC236}">
                  <a16:creationId xmlns:a16="http://schemas.microsoft.com/office/drawing/2014/main" id="{00000000-0008-0000-1C00-00003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10</xdr:row>
          <xdr:rowOff>38100</xdr:rowOff>
        </xdr:from>
        <xdr:to>
          <xdr:col>6</xdr:col>
          <xdr:colOff>571500</xdr:colOff>
          <xdr:row>10</xdr:row>
          <xdr:rowOff>266700</xdr:rowOff>
        </xdr:to>
        <xdr:sp macro="" textlink="">
          <xdr:nvSpPr>
            <xdr:cNvPr id="604212" name="Option Button 52" hidden="1">
              <a:extLst>
                <a:ext uri="{63B3BB69-23CF-44E3-9099-C40C66FF867C}">
                  <a14:compatExt spid="_x0000_s604212"/>
                </a:ext>
                <a:ext uri="{FF2B5EF4-FFF2-40B4-BE49-F238E27FC236}">
                  <a16:creationId xmlns:a16="http://schemas.microsoft.com/office/drawing/2014/main" id="{00000000-0008-0000-1C00-00003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10</xdr:row>
          <xdr:rowOff>28575</xdr:rowOff>
        </xdr:from>
        <xdr:to>
          <xdr:col>7</xdr:col>
          <xdr:colOff>600075</xdr:colOff>
          <xdr:row>10</xdr:row>
          <xdr:rowOff>295275</xdr:rowOff>
        </xdr:to>
        <xdr:sp macro="" textlink="">
          <xdr:nvSpPr>
            <xdr:cNvPr id="604213" name="Option Button 53" hidden="1">
              <a:extLst>
                <a:ext uri="{63B3BB69-23CF-44E3-9099-C40C66FF867C}">
                  <a14:compatExt spid="_x0000_s604213"/>
                </a:ext>
                <a:ext uri="{FF2B5EF4-FFF2-40B4-BE49-F238E27FC236}">
                  <a16:creationId xmlns:a16="http://schemas.microsoft.com/office/drawing/2014/main" id="{00000000-0008-0000-1C00-00003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11</xdr:col>
          <xdr:colOff>200025</xdr:colOff>
          <xdr:row>11</xdr:row>
          <xdr:rowOff>0</xdr:rowOff>
        </xdr:to>
        <xdr:sp macro="" textlink="">
          <xdr:nvSpPr>
            <xdr:cNvPr id="604214" name="Group Box 54" hidden="1">
              <a:extLst>
                <a:ext uri="{63B3BB69-23CF-44E3-9099-C40C66FF867C}">
                  <a14:compatExt spid="_x0000_s604214"/>
                </a:ext>
                <a:ext uri="{FF2B5EF4-FFF2-40B4-BE49-F238E27FC236}">
                  <a16:creationId xmlns:a16="http://schemas.microsoft.com/office/drawing/2014/main" id="{00000000-0008-0000-1C00-000036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xdr:row>
          <xdr:rowOff>38100</xdr:rowOff>
        </xdr:from>
        <xdr:to>
          <xdr:col>2</xdr:col>
          <xdr:colOff>609600</xdr:colOff>
          <xdr:row>11</xdr:row>
          <xdr:rowOff>295275</xdr:rowOff>
        </xdr:to>
        <xdr:sp macro="" textlink="">
          <xdr:nvSpPr>
            <xdr:cNvPr id="604215" name="Option Button 55" hidden="1">
              <a:extLst>
                <a:ext uri="{63B3BB69-23CF-44E3-9099-C40C66FF867C}">
                  <a14:compatExt spid="_x0000_s604215"/>
                </a:ext>
                <a:ext uri="{FF2B5EF4-FFF2-40B4-BE49-F238E27FC236}">
                  <a16:creationId xmlns:a16="http://schemas.microsoft.com/office/drawing/2014/main" id="{00000000-0008-0000-1C00-00003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xdr:row>
          <xdr:rowOff>28575</xdr:rowOff>
        </xdr:from>
        <xdr:to>
          <xdr:col>3</xdr:col>
          <xdr:colOff>609600</xdr:colOff>
          <xdr:row>11</xdr:row>
          <xdr:rowOff>295275</xdr:rowOff>
        </xdr:to>
        <xdr:sp macro="" textlink="">
          <xdr:nvSpPr>
            <xdr:cNvPr id="604216" name="Option Button 56" hidden="1">
              <a:extLst>
                <a:ext uri="{63B3BB69-23CF-44E3-9099-C40C66FF867C}">
                  <a14:compatExt spid="_x0000_s604216"/>
                </a:ext>
                <a:ext uri="{FF2B5EF4-FFF2-40B4-BE49-F238E27FC236}">
                  <a16:creationId xmlns:a16="http://schemas.microsoft.com/office/drawing/2014/main" id="{00000000-0008-0000-1C00-00003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11</xdr:row>
          <xdr:rowOff>28575</xdr:rowOff>
        </xdr:from>
        <xdr:to>
          <xdr:col>4</xdr:col>
          <xdr:colOff>600075</xdr:colOff>
          <xdr:row>11</xdr:row>
          <xdr:rowOff>295275</xdr:rowOff>
        </xdr:to>
        <xdr:sp macro="" textlink="">
          <xdr:nvSpPr>
            <xdr:cNvPr id="604217" name="Option Button 57" hidden="1">
              <a:extLst>
                <a:ext uri="{63B3BB69-23CF-44E3-9099-C40C66FF867C}">
                  <a14:compatExt spid="_x0000_s604217"/>
                </a:ext>
                <a:ext uri="{FF2B5EF4-FFF2-40B4-BE49-F238E27FC236}">
                  <a16:creationId xmlns:a16="http://schemas.microsoft.com/office/drawing/2014/main" id="{00000000-0008-0000-1C00-00003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xdr:row>
          <xdr:rowOff>38100</xdr:rowOff>
        </xdr:from>
        <xdr:to>
          <xdr:col>5</xdr:col>
          <xdr:colOff>600075</xdr:colOff>
          <xdr:row>11</xdr:row>
          <xdr:rowOff>276225</xdr:rowOff>
        </xdr:to>
        <xdr:sp macro="" textlink="">
          <xdr:nvSpPr>
            <xdr:cNvPr id="604218" name="Option Button 58" hidden="1">
              <a:extLst>
                <a:ext uri="{63B3BB69-23CF-44E3-9099-C40C66FF867C}">
                  <a14:compatExt spid="_x0000_s604218"/>
                </a:ext>
                <a:ext uri="{FF2B5EF4-FFF2-40B4-BE49-F238E27FC236}">
                  <a16:creationId xmlns:a16="http://schemas.microsoft.com/office/drawing/2014/main" id="{00000000-0008-0000-1C00-00003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38100</xdr:rowOff>
        </xdr:from>
        <xdr:to>
          <xdr:col>6</xdr:col>
          <xdr:colOff>571500</xdr:colOff>
          <xdr:row>11</xdr:row>
          <xdr:rowOff>276225</xdr:rowOff>
        </xdr:to>
        <xdr:sp macro="" textlink="">
          <xdr:nvSpPr>
            <xdr:cNvPr id="604219" name="Option Button 59" hidden="1">
              <a:extLst>
                <a:ext uri="{63B3BB69-23CF-44E3-9099-C40C66FF867C}">
                  <a14:compatExt spid="_x0000_s604219"/>
                </a:ext>
                <a:ext uri="{FF2B5EF4-FFF2-40B4-BE49-F238E27FC236}">
                  <a16:creationId xmlns:a16="http://schemas.microsoft.com/office/drawing/2014/main" id="{00000000-0008-0000-1C00-00003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11</xdr:row>
          <xdr:rowOff>28575</xdr:rowOff>
        </xdr:from>
        <xdr:to>
          <xdr:col>7</xdr:col>
          <xdr:colOff>600075</xdr:colOff>
          <xdr:row>11</xdr:row>
          <xdr:rowOff>295275</xdr:rowOff>
        </xdr:to>
        <xdr:sp macro="" textlink="">
          <xdr:nvSpPr>
            <xdr:cNvPr id="604220" name="Option Button 60" hidden="1">
              <a:extLst>
                <a:ext uri="{63B3BB69-23CF-44E3-9099-C40C66FF867C}">
                  <a14:compatExt spid="_x0000_s604220"/>
                </a:ext>
                <a:ext uri="{FF2B5EF4-FFF2-40B4-BE49-F238E27FC236}">
                  <a16:creationId xmlns:a16="http://schemas.microsoft.com/office/drawing/2014/main" id="{00000000-0008-0000-1C00-00003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11</xdr:col>
          <xdr:colOff>200025</xdr:colOff>
          <xdr:row>12</xdr:row>
          <xdr:rowOff>0</xdr:rowOff>
        </xdr:to>
        <xdr:sp macro="" textlink="">
          <xdr:nvSpPr>
            <xdr:cNvPr id="604221" name="Group Box 61" hidden="1">
              <a:extLst>
                <a:ext uri="{63B3BB69-23CF-44E3-9099-C40C66FF867C}">
                  <a14:compatExt spid="_x0000_s604221"/>
                </a:ext>
                <a:ext uri="{FF2B5EF4-FFF2-40B4-BE49-F238E27FC236}">
                  <a16:creationId xmlns:a16="http://schemas.microsoft.com/office/drawing/2014/main" id="{00000000-0008-0000-1C00-00003D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12</xdr:row>
          <xdr:rowOff>38100</xdr:rowOff>
        </xdr:from>
        <xdr:to>
          <xdr:col>2</xdr:col>
          <xdr:colOff>609600</xdr:colOff>
          <xdr:row>12</xdr:row>
          <xdr:rowOff>295275</xdr:rowOff>
        </xdr:to>
        <xdr:sp macro="" textlink="">
          <xdr:nvSpPr>
            <xdr:cNvPr id="604222" name="Option Button 62" hidden="1">
              <a:extLst>
                <a:ext uri="{63B3BB69-23CF-44E3-9099-C40C66FF867C}">
                  <a14:compatExt spid="_x0000_s604222"/>
                </a:ext>
                <a:ext uri="{FF2B5EF4-FFF2-40B4-BE49-F238E27FC236}">
                  <a16:creationId xmlns:a16="http://schemas.microsoft.com/office/drawing/2014/main" id="{00000000-0008-0000-1C00-00003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28575</xdr:rowOff>
        </xdr:from>
        <xdr:to>
          <xdr:col>3</xdr:col>
          <xdr:colOff>609600</xdr:colOff>
          <xdr:row>12</xdr:row>
          <xdr:rowOff>295275</xdr:rowOff>
        </xdr:to>
        <xdr:sp macro="" textlink="">
          <xdr:nvSpPr>
            <xdr:cNvPr id="604223" name="Option Button 63" hidden="1">
              <a:extLst>
                <a:ext uri="{63B3BB69-23CF-44E3-9099-C40C66FF867C}">
                  <a14:compatExt spid="_x0000_s604223"/>
                </a:ext>
                <a:ext uri="{FF2B5EF4-FFF2-40B4-BE49-F238E27FC236}">
                  <a16:creationId xmlns:a16="http://schemas.microsoft.com/office/drawing/2014/main" id="{00000000-0008-0000-1C00-00003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12</xdr:row>
          <xdr:rowOff>28575</xdr:rowOff>
        </xdr:from>
        <xdr:to>
          <xdr:col>4</xdr:col>
          <xdr:colOff>600075</xdr:colOff>
          <xdr:row>12</xdr:row>
          <xdr:rowOff>304800</xdr:rowOff>
        </xdr:to>
        <xdr:sp macro="" textlink="">
          <xdr:nvSpPr>
            <xdr:cNvPr id="604224" name="Option Button 64" hidden="1">
              <a:extLst>
                <a:ext uri="{63B3BB69-23CF-44E3-9099-C40C66FF867C}">
                  <a14:compatExt spid="_x0000_s604224"/>
                </a:ext>
                <a:ext uri="{FF2B5EF4-FFF2-40B4-BE49-F238E27FC236}">
                  <a16:creationId xmlns:a16="http://schemas.microsoft.com/office/drawing/2014/main" id="{00000000-0008-0000-1C00-00004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xdr:row>
          <xdr:rowOff>38100</xdr:rowOff>
        </xdr:from>
        <xdr:to>
          <xdr:col>5</xdr:col>
          <xdr:colOff>600075</xdr:colOff>
          <xdr:row>12</xdr:row>
          <xdr:rowOff>295275</xdr:rowOff>
        </xdr:to>
        <xdr:sp macro="" textlink="">
          <xdr:nvSpPr>
            <xdr:cNvPr id="604225" name="Option Button 65" hidden="1">
              <a:extLst>
                <a:ext uri="{63B3BB69-23CF-44E3-9099-C40C66FF867C}">
                  <a14:compatExt spid="_x0000_s604225"/>
                </a:ext>
                <a:ext uri="{FF2B5EF4-FFF2-40B4-BE49-F238E27FC236}">
                  <a16:creationId xmlns:a16="http://schemas.microsoft.com/office/drawing/2014/main" id="{00000000-0008-0000-1C00-00004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12</xdr:row>
          <xdr:rowOff>38100</xdr:rowOff>
        </xdr:from>
        <xdr:to>
          <xdr:col>6</xdr:col>
          <xdr:colOff>571500</xdr:colOff>
          <xdr:row>12</xdr:row>
          <xdr:rowOff>295275</xdr:rowOff>
        </xdr:to>
        <xdr:sp macro="" textlink="">
          <xdr:nvSpPr>
            <xdr:cNvPr id="604226" name="Option Button 66" hidden="1">
              <a:extLst>
                <a:ext uri="{63B3BB69-23CF-44E3-9099-C40C66FF867C}">
                  <a14:compatExt spid="_x0000_s604226"/>
                </a:ext>
                <a:ext uri="{FF2B5EF4-FFF2-40B4-BE49-F238E27FC236}">
                  <a16:creationId xmlns:a16="http://schemas.microsoft.com/office/drawing/2014/main" id="{00000000-0008-0000-1C00-00004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12</xdr:row>
          <xdr:rowOff>28575</xdr:rowOff>
        </xdr:from>
        <xdr:to>
          <xdr:col>7</xdr:col>
          <xdr:colOff>600075</xdr:colOff>
          <xdr:row>12</xdr:row>
          <xdr:rowOff>304800</xdr:rowOff>
        </xdr:to>
        <xdr:sp macro="" textlink="">
          <xdr:nvSpPr>
            <xdr:cNvPr id="604227" name="Option Button 67" hidden="1">
              <a:extLst>
                <a:ext uri="{63B3BB69-23CF-44E3-9099-C40C66FF867C}">
                  <a14:compatExt spid="_x0000_s604227"/>
                </a:ext>
                <a:ext uri="{FF2B5EF4-FFF2-40B4-BE49-F238E27FC236}">
                  <a16:creationId xmlns:a16="http://schemas.microsoft.com/office/drawing/2014/main" id="{00000000-0008-0000-1C00-00004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11</xdr:col>
          <xdr:colOff>200025</xdr:colOff>
          <xdr:row>13</xdr:row>
          <xdr:rowOff>0</xdr:rowOff>
        </xdr:to>
        <xdr:sp macro="" textlink="">
          <xdr:nvSpPr>
            <xdr:cNvPr id="604228" name="Group Box 68" hidden="1">
              <a:extLst>
                <a:ext uri="{63B3BB69-23CF-44E3-9099-C40C66FF867C}">
                  <a14:compatExt spid="_x0000_s604228"/>
                </a:ext>
                <a:ext uri="{FF2B5EF4-FFF2-40B4-BE49-F238E27FC236}">
                  <a16:creationId xmlns:a16="http://schemas.microsoft.com/office/drawing/2014/main" id="{00000000-0008-0000-1C00-000044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13</xdr:row>
          <xdr:rowOff>38100</xdr:rowOff>
        </xdr:from>
        <xdr:to>
          <xdr:col>2</xdr:col>
          <xdr:colOff>609600</xdr:colOff>
          <xdr:row>13</xdr:row>
          <xdr:rowOff>304800</xdr:rowOff>
        </xdr:to>
        <xdr:sp macro="" textlink="">
          <xdr:nvSpPr>
            <xdr:cNvPr id="604229" name="Option Button 69" hidden="1">
              <a:extLst>
                <a:ext uri="{63B3BB69-23CF-44E3-9099-C40C66FF867C}">
                  <a14:compatExt spid="_x0000_s604229"/>
                </a:ext>
                <a:ext uri="{FF2B5EF4-FFF2-40B4-BE49-F238E27FC236}">
                  <a16:creationId xmlns:a16="http://schemas.microsoft.com/office/drawing/2014/main" id="{00000000-0008-0000-1C00-00004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28575</xdr:rowOff>
        </xdr:from>
        <xdr:to>
          <xdr:col>3</xdr:col>
          <xdr:colOff>609600</xdr:colOff>
          <xdr:row>13</xdr:row>
          <xdr:rowOff>304800</xdr:rowOff>
        </xdr:to>
        <xdr:sp macro="" textlink="">
          <xdr:nvSpPr>
            <xdr:cNvPr id="604230" name="Option Button 70" hidden="1">
              <a:extLst>
                <a:ext uri="{63B3BB69-23CF-44E3-9099-C40C66FF867C}">
                  <a14:compatExt spid="_x0000_s604230"/>
                </a:ext>
                <a:ext uri="{FF2B5EF4-FFF2-40B4-BE49-F238E27FC236}">
                  <a16:creationId xmlns:a16="http://schemas.microsoft.com/office/drawing/2014/main" id="{00000000-0008-0000-1C00-00004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13</xdr:row>
          <xdr:rowOff>28575</xdr:rowOff>
        </xdr:from>
        <xdr:to>
          <xdr:col>4</xdr:col>
          <xdr:colOff>600075</xdr:colOff>
          <xdr:row>13</xdr:row>
          <xdr:rowOff>314325</xdr:rowOff>
        </xdr:to>
        <xdr:sp macro="" textlink="">
          <xdr:nvSpPr>
            <xdr:cNvPr id="604231" name="Option Button 71" hidden="1">
              <a:extLst>
                <a:ext uri="{63B3BB69-23CF-44E3-9099-C40C66FF867C}">
                  <a14:compatExt spid="_x0000_s604231"/>
                </a:ext>
                <a:ext uri="{FF2B5EF4-FFF2-40B4-BE49-F238E27FC236}">
                  <a16:creationId xmlns:a16="http://schemas.microsoft.com/office/drawing/2014/main" id="{00000000-0008-0000-1C00-00004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38100</xdr:rowOff>
        </xdr:from>
        <xdr:to>
          <xdr:col>5</xdr:col>
          <xdr:colOff>600075</xdr:colOff>
          <xdr:row>13</xdr:row>
          <xdr:rowOff>295275</xdr:rowOff>
        </xdr:to>
        <xdr:sp macro="" textlink="">
          <xdr:nvSpPr>
            <xdr:cNvPr id="604232" name="Option Button 72" hidden="1">
              <a:extLst>
                <a:ext uri="{63B3BB69-23CF-44E3-9099-C40C66FF867C}">
                  <a14:compatExt spid="_x0000_s604232"/>
                </a:ext>
                <a:ext uri="{FF2B5EF4-FFF2-40B4-BE49-F238E27FC236}">
                  <a16:creationId xmlns:a16="http://schemas.microsoft.com/office/drawing/2014/main" id="{00000000-0008-0000-1C00-00004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xdr:row>
          <xdr:rowOff>38100</xdr:rowOff>
        </xdr:from>
        <xdr:to>
          <xdr:col>6</xdr:col>
          <xdr:colOff>571500</xdr:colOff>
          <xdr:row>13</xdr:row>
          <xdr:rowOff>295275</xdr:rowOff>
        </xdr:to>
        <xdr:sp macro="" textlink="">
          <xdr:nvSpPr>
            <xdr:cNvPr id="604233" name="Option Button 73" hidden="1">
              <a:extLst>
                <a:ext uri="{63B3BB69-23CF-44E3-9099-C40C66FF867C}">
                  <a14:compatExt spid="_x0000_s604233"/>
                </a:ext>
                <a:ext uri="{FF2B5EF4-FFF2-40B4-BE49-F238E27FC236}">
                  <a16:creationId xmlns:a16="http://schemas.microsoft.com/office/drawing/2014/main" id="{00000000-0008-0000-1C00-00004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13</xdr:row>
          <xdr:rowOff>28575</xdr:rowOff>
        </xdr:from>
        <xdr:to>
          <xdr:col>7</xdr:col>
          <xdr:colOff>600075</xdr:colOff>
          <xdr:row>13</xdr:row>
          <xdr:rowOff>314325</xdr:rowOff>
        </xdr:to>
        <xdr:sp macro="" textlink="">
          <xdr:nvSpPr>
            <xdr:cNvPr id="604234" name="Option Button 74" hidden="1">
              <a:extLst>
                <a:ext uri="{63B3BB69-23CF-44E3-9099-C40C66FF867C}">
                  <a14:compatExt spid="_x0000_s604234"/>
                </a:ext>
                <a:ext uri="{FF2B5EF4-FFF2-40B4-BE49-F238E27FC236}">
                  <a16:creationId xmlns:a16="http://schemas.microsoft.com/office/drawing/2014/main" id="{00000000-0008-0000-1C00-00004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11</xdr:col>
          <xdr:colOff>200025</xdr:colOff>
          <xdr:row>14</xdr:row>
          <xdr:rowOff>0</xdr:rowOff>
        </xdr:to>
        <xdr:sp macro="" textlink="">
          <xdr:nvSpPr>
            <xdr:cNvPr id="604235" name="Group Box 75" hidden="1">
              <a:extLst>
                <a:ext uri="{63B3BB69-23CF-44E3-9099-C40C66FF867C}">
                  <a14:compatExt spid="_x0000_s604235"/>
                </a:ext>
                <a:ext uri="{FF2B5EF4-FFF2-40B4-BE49-F238E27FC236}">
                  <a16:creationId xmlns:a16="http://schemas.microsoft.com/office/drawing/2014/main" id="{00000000-0008-0000-1C00-00004B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14</xdr:row>
          <xdr:rowOff>38100</xdr:rowOff>
        </xdr:from>
        <xdr:to>
          <xdr:col>2</xdr:col>
          <xdr:colOff>609600</xdr:colOff>
          <xdr:row>14</xdr:row>
          <xdr:rowOff>314325</xdr:rowOff>
        </xdr:to>
        <xdr:sp macro="" textlink="">
          <xdr:nvSpPr>
            <xdr:cNvPr id="604236" name="Option Button 76" hidden="1">
              <a:extLst>
                <a:ext uri="{63B3BB69-23CF-44E3-9099-C40C66FF867C}">
                  <a14:compatExt spid="_x0000_s604236"/>
                </a:ext>
                <a:ext uri="{FF2B5EF4-FFF2-40B4-BE49-F238E27FC236}">
                  <a16:creationId xmlns:a16="http://schemas.microsoft.com/office/drawing/2014/main" id="{00000000-0008-0000-1C00-00004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xdr:row>
          <xdr:rowOff>28575</xdr:rowOff>
        </xdr:from>
        <xdr:to>
          <xdr:col>3</xdr:col>
          <xdr:colOff>609600</xdr:colOff>
          <xdr:row>14</xdr:row>
          <xdr:rowOff>314325</xdr:rowOff>
        </xdr:to>
        <xdr:sp macro="" textlink="">
          <xdr:nvSpPr>
            <xdr:cNvPr id="604237" name="Option Button 77" hidden="1">
              <a:extLst>
                <a:ext uri="{63B3BB69-23CF-44E3-9099-C40C66FF867C}">
                  <a14:compatExt spid="_x0000_s604237"/>
                </a:ext>
                <a:ext uri="{FF2B5EF4-FFF2-40B4-BE49-F238E27FC236}">
                  <a16:creationId xmlns:a16="http://schemas.microsoft.com/office/drawing/2014/main" id="{00000000-0008-0000-1C00-00004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14</xdr:row>
          <xdr:rowOff>28575</xdr:rowOff>
        </xdr:from>
        <xdr:to>
          <xdr:col>4</xdr:col>
          <xdr:colOff>600075</xdr:colOff>
          <xdr:row>14</xdr:row>
          <xdr:rowOff>314325</xdr:rowOff>
        </xdr:to>
        <xdr:sp macro="" textlink="">
          <xdr:nvSpPr>
            <xdr:cNvPr id="604238" name="Option Button 78" hidden="1">
              <a:extLst>
                <a:ext uri="{63B3BB69-23CF-44E3-9099-C40C66FF867C}">
                  <a14:compatExt spid="_x0000_s604238"/>
                </a:ext>
                <a:ext uri="{FF2B5EF4-FFF2-40B4-BE49-F238E27FC236}">
                  <a16:creationId xmlns:a16="http://schemas.microsoft.com/office/drawing/2014/main" id="{00000000-0008-0000-1C00-00004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14</xdr:row>
          <xdr:rowOff>38100</xdr:rowOff>
        </xdr:from>
        <xdr:to>
          <xdr:col>5</xdr:col>
          <xdr:colOff>600075</xdr:colOff>
          <xdr:row>14</xdr:row>
          <xdr:rowOff>304800</xdr:rowOff>
        </xdr:to>
        <xdr:sp macro="" textlink="">
          <xdr:nvSpPr>
            <xdr:cNvPr id="604239" name="Option Button 79" hidden="1">
              <a:extLst>
                <a:ext uri="{63B3BB69-23CF-44E3-9099-C40C66FF867C}">
                  <a14:compatExt spid="_x0000_s604239"/>
                </a:ext>
                <a:ext uri="{FF2B5EF4-FFF2-40B4-BE49-F238E27FC236}">
                  <a16:creationId xmlns:a16="http://schemas.microsoft.com/office/drawing/2014/main" id="{00000000-0008-0000-1C00-00004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14</xdr:row>
          <xdr:rowOff>38100</xdr:rowOff>
        </xdr:from>
        <xdr:to>
          <xdr:col>6</xdr:col>
          <xdr:colOff>571500</xdr:colOff>
          <xdr:row>14</xdr:row>
          <xdr:rowOff>304800</xdr:rowOff>
        </xdr:to>
        <xdr:sp macro="" textlink="">
          <xdr:nvSpPr>
            <xdr:cNvPr id="604240" name="Option Button 80" hidden="1">
              <a:extLst>
                <a:ext uri="{63B3BB69-23CF-44E3-9099-C40C66FF867C}">
                  <a14:compatExt spid="_x0000_s604240"/>
                </a:ext>
                <a:ext uri="{FF2B5EF4-FFF2-40B4-BE49-F238E27FC236}">
                  <a16:creationId xmlns:a16="http://schemas.microsoft.com/office/drawing/2014/main" id="{00000000-0008-0000-1C00-00005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14</xdr:row>
          <xdr:rowOff>28575</xdr:rowOff>
        </xdr:from>
        <xdr:to>
          <xdr:col>7</xdr:col>
          <xdr:colOff>600075</xdr:colOff>
          <xdr:row>14</xdr:row>
          <xdr:rowOff>314325</xdr:rowOff>
        </xdr:to>
        <xdr:sp macro="" textlink="">
          <xdr:nvSpPr>
            <xdr:cNvPr id="604241" name="Option Button 81" hidden="1">
              <a:extLst>
                <a:ext uri="{63B3BB69-23CF-44E3-9099-C40C66FF867C}">
                  <a14:compatExt spid="_x0000_s604241"/>
                </a:ext>
                <a:ext uri="{FF2B5EF4-FFF2-40B4-BE49-F238E27FC236}">
                  <a16:creationId xmlns:a16="http://schemas.microsoft.com/office/drawing/2014/main" id="{00000000-0008-0000-1C00-00005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11</xdr:col>
          <xdr:colOff>200025</xdr:colOff>
          <xdr:row>15</xdr:row>
          <xdr:rowOff>0</xdr:rowOff>
        </xdr:to>
        <xdr:sp macro="" textlink="">
          <xdr:nvSpPr>
            <xdr:cNvPr id="604242" name="Group Box 82" hidden="1">
              <a:extLst>
                <a:ext uri="{63B3BB69-23CF-44E3-9099-C40C66FF867C}">
                  <a14:compatExt spid="_x0000_s604242"/>
                </a:ext>
                <a:ext uri="{FF2B5EF4-FFF2-40B4-BE49-F238E27FC236}">
                  <a16:creationId xmlns:a16="http://schemas.microsoft.com/office/drawing/2014/main" id="{00000000-0008-0000-1C00-000052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15</xdr:row>
          <xdr:rowOff>38100</xdr:rowOff>
        </xdr:from>
        <xdr:to>
          <xdr:col>2</xdr:col>
          <xdr:colOff>609600</xdr:colOff>
          <xdr:row>15</xdr:row>
          <xdr:rowOff>314325</xdr:rowOff>
        </xdr:to>
        <xdr:sp macro="" textlink="">
          <xdr:nvSpPr>
            <xdr:cNvPr id="604243" name="Option Button 83" hidden="1">
              <a:extLst>
                <a:ext uri="{63B3BB69-23CF-44E3-9099-C40C66FF867C}">
                  <a14:compatExt spid="_x0000_s604243"/>
                </a:ext>
                <a:ext uri="{FF2B5EF4-FFF2-40B4-BE49-F238E27FC236}">
                  <a16:creationId xmlns:a16="http://schemas.microsoft.com/office/drawing/2014/main" id="{00000000-0008-0000-1C00-00005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xdr:row>
          <xdr:rowOff>28575</xdr:rowOff>
        </xdr:from>
        <xdr:to>
          <xdr:col>3</xdr:col>
          <xdr:colOff>609600</xdr:colOff>
          <xdr:row>15</xdr:row>
          <xdr:rowOff>314325</xdr:rowOff>
        </xdr:to>
        <xdr:sp macro="" textlink="">
          <xdr:nvSpPr>
            <xdr:cNvPr id="604244" name="Option Button 84" hidden="1">
              <a:extLst>
                <a:ext uri="{63B3BB69-23CF-44E3-9099-C40C66FF867C}">
                  <a14:compatExt spid="_x0000_s604244"/>
                </a:ext>
                <a:ext uri="{FF2B5EF4-FFF2-40B4-BE49-F238E27FC236}">
                  <a16:creationId xmlns:a16="http://schemas.microsoft.com/office/drawing/2014/main" id="{00000000-0008-0000-1C00-00005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15</xdr:row>
          <xdr:rowOff>28575</xdr:rowOff>
        </xdr:from>
        <xdr:to>
          <xdr:col>4</xdr:col>
          <xdr:colOff>600075</xdr:colOff>
          <xdr:row>15</xdr:row>
          <xdr:rowOff>314325</xdr:rowOff>
        </xdr:to>
        <xdr:sp macro="" textlink="">
          <xdr:nvSpPr>
            <xdr:cNvPr id="604245" name="Option Button 85" hidden="1">
              <a:extLst>
                <a:ext uri="{63B3BB69-23CF-44E3-9099-C40C66FF867C}">
                  <a14:compatExt spid="_x0000_s604245"/>
                </a:ext>
                <a:ext uri="{FF2B5EF4-FFF2-40B4-BE49-F238E27FC236}">
                  <a16:creationId xmlns:a16="http://schemas.microsoft.com/office/drawing/2014/main" id="{00000000-0008-0000-1C00-00005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15</xdr:row>
          <xdr:rowOff>38100</xdr:rowOff>
        </xdr:from>
        <xdr:to>
          <xdr:col>5</xdr:col>
          <xdr:colOff>600075</xdr:colOff>
          <xdr:row>15</xdr:row>
          <xdr:rowOff>314325</xdr:rowOff>
        </xdr:to>
        <xdr:sp macro="" textlink="">
          <xdr:nvSpPr>
            <xdr:cNvPr id="604246" name="Option Button 86" hidden="1">
              <a:extLst>
                <a:ext uri="{63B3BB69-23CF-44E3-9099-C40C66FF867C}">
                  <a14:compatExt spid="_x0000_s604246"/>
                </a:ext>
                <a:ext uri="{FF2B5EF4-FFF2-40B4-BE49-F238E27FC236}">
                  <a16:creationId xmlns:a16="http://schemas.microsoft.com/office/drawing/2014/main" id="{00000000-0008-0000-1C00-00005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15</xdr:row>
          <xdr:rowOff>38100</xdr:rowOff>
        </xdr:from>
        <xdr:to>
          <xdr:col>6</xdr:col>
          <xdr:colOff>571500</xdr:colOff>
          <xdr:row>15</xdr:row>
          <xdr:rowOff>314325</xdr:rowOff>
        </xdr:to>
        <xdr:sp macro="" textlink="">
          <xdr:nvSpPr>
            <xdr:cNvPr id="604247" name="Option Button 87" hidden="1">
              <a:extLst>
                <a:ext uri="{63B3BB69-23CF-44E3-9099-C40C66FF867C}">
                  <a14:compatExt spid="_x0000_s604247"/>
                </a:ext>
                <a:ext uri="{FF2B5EF4-FFF2-40B4-BE49-F238E27FC236}">
                  <a16:creationId xmlns:a16="http://schemas.microsoft.com/office/drawing/2014/main" id="{00000000-0008-0000-1C00-00005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15</xdr:row>
          <xdr:rowOff>28575</xdr:rowOff>
        </xdr:from>
        <xdr:to>
          <xdr:col>7</xdr:col>
          <xdr:colOff>600075</xdr:colOff>
          <xdr:row>15</xdr:row>
          <xdr:rowOff>314325</xdr:rowOff>
        </xdr:to>
        <xdr:sp macro="" textlink="">
          <xdr:nvSpPr>
            <xdr:cNvPr id="604248" name="Option Button 88" hidden="1">
              <a:extLst>
                <a:ext uri="{63B3BB69-23CF-44E3-9099-C40C66FF867C}">
                  <a14:compatExt spid="_x0000_s604248"/>
                </a:ext>
                <a:ext uri="{FF2B5EF4-FFF2-40B4-BE49-F238E27FC236}">
                  <a16:creationId xmlns:a16="http://schemas.microsoft.com/office/drawing/2014/main" id="{00000000-0008-0000-1C00-00005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11</xdr:col>
          <xdr:colOff>200025</xdr:colOff>
          <xdr:row>16</xdr:row>
          <xdr:rowOff>0</xdr:rowOff>
        </xdr:to>
        <xdr:sp macro="" textlink="">
          <xdr:nvSpPr>
            <xdr:cNvPr id="604249" name="Group Box 89" hidden="1">
              <a:extLst>
                <a:ext uri="{63B3BB69-23CF-44E3-9099-C40C66FF867C}">
                  <a14:compatExt spid="_x0000_s604249"/>
                </a:ext>
                <a:ext uri="{FF2B5EF4-FFF2-40B4-BE49-F238E27FC236}">
                  <a16:creationId xmlns:a16="http://schemas.microsoft.com/office/drawing/2014/main" id="{00000000-0008-0000-1C00-000059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16</xdr:row>
          <xdr:rowOff>38100</xdr:rowOff>
        </xdr:from>
        <xdr:to>
          <xdr:col>2</xdr:col>
          <xdr:colOff>609600</xdr:colOff>
          <xdr:row>16</xdr:row>
          <xdr:rowOff>314325</xdr:rowOff>
        </xdr:to>
        <xdr:sp macro="" textlink="">
          <xdr:nvSpPr>
            <xdr:cNvPr id="604250" name="Option Button 90" hidden="1">
              <a:extLst>
                <a:ext uri="{63B3BB69-23CF-44E3-9099-C40C66FF867C}">
                  <a14:compatExt spid="_x0000_s604250"/>
                </a:ext>
                <a:ext uri="{FF2B5EF4-FFF2-40B4-BE49-F238E27FC236}">
                  <a16:creationId xmlns:a16="http://schemas.microsoft.com/office/drawing/2014/main" id="{00000000-0008-0000-1C00-00005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xdr:row>
          <xdr:rowOff>28575</xdr:rowOff>
        </xdr:from>
        <xdr:to>
          <xdr:col>3</xdr:col>
          <xdr:colOff>609600</xdr:colOff>
          <xdr:row>16</xdr:row>
          <xdr:rowOff>314325</xdr:rowOff>
        </xdr:to>
        <xdr:sp macro="" textlink="">
          <xdr:nvSpPr>
            <xdr:cNvPr id="604251" name="Option Button 91" hidden="1">
              <a:extLst>
                <a:ext uri="{63B3BB69-23CF-44E3-9099-C40C66FF867C}">
                  <a14:compatExt spid="_x0000_s604251"/>
                </a:ext>
                <a:ext uri="{FF2B5EF4-FFF2-40B4-BE49-F238E27FC236}">
                  <a16:creationId xmlns:a16="http://schemas.microsoft.com/office/drawing/2014/main" id="{00000000-0008-0000-1C00-00005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16</xdr:row>
          <xdr:rowOff>28575</xdr:rowOff>
        </xdr:from>
        <xdr:to>
          <xdr:col>4</xdr:col>
          <xdr:colOff>600075</xdr:colOff>
          <xdr:row>16</xdr:row>
          <xdr:rowOff>314325</xdr:rowOff>
        </xdr:to>
        <xdr:sp macro="" textlink="">
          <xdr:nvSpPr>
            <xdr:cNvPr id="604252" name="Option Button 92" hidden="1">
              <a:extLst>
                <a:ext uri="{63B3BB69-23CF-44E3-9099-C40C66FF867C}">
                  <a14:compatExt spid="_x0000_s604252"/>
                </a:ext>
                <a:ext uri="{FF2B5EF4-FFF2-40B4-BE49-F238E27FC236}">
                  <a16:creationId xmlns:a16="http://schemas.microsoft.com/office/drawing/2014/main" id="{00000000-0008-0000-1C00-00005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38100</xdr:rowOff>
        </xdr:from>
        <xdr:to>
          <xdr:col>5</xdr:col>
          <xdr:colOff>600075</xdr:colOff>
          <xdr:row>16</xdr:row>
          <xdr:rowOff>314325</xdr:rowOff>
        </xdr:to>
        <xdr:sp macro="" textlink="">
          <xdr:nvSpPr>
            <xdr:cNvPr id="604253" name="Option Button 93" hidden="1">
              <a:extLst>
                <a:ext uri="{63B3BB69-23CF-44E3-9099-C40C66FF867C}">
                  <a14:compatExt spid="_x0000_s604253"/>
                </a:ext>
                <a:ext uri="{FF2B5EF4-FFF2-40B4-BE49-F238E27FC236}">
                  <a16:creationId xmlns:a16="http://schemas.microsoft.com/office/drawing/2014/main" id="{00000000-0008-0000-1C00-00005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38100</xdr:rowOff>
        </xdr:from>
        <xdr:to>
          <xdr:col>6</xdr:col>
          <xdr:colOff>571500</xdr:colOff>
          <xdr:row>16</xdr:row>
          <xdr:rowOff>314325</xdr:rowOff>
        </xdr:to>
        <xdr:sp macro="" textlink="">
          <xdr:nvSpPr>
            <xdr:cNvPr id="604254" name="Option Button 94" hidden="1">
              <a:extLst>
                <a:ext uri="{63B3BB69-23CF-44E3-9099-C40C66FF867C}">
                  <a14:compatExt spid="_x0000_s604254"/>
                </a:ext>
                <a:ext uri="{FF2B5EF4-FFF2-40B4-BE49-F238E27FC236}">
                  <a16:creationId xmlns:a16="http://schemas.microsoft.com/office/drawing/2014/main" id="{00000000-0008-0000-1C00-00005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16</xdr:row>
          <xdr:rowOff>28575</xdr:rowOff>
        </xdr:from>
        <xdr:to>
          <xdr:col>7</xdr:col>
          <xdr:colOff>600075</xdr:colOff>
          <xdr:row>16</xdr:row>
          <xdr:rowOff>314325</xdr:rowOff>
        </xdr:to>
        <xdr:sp macro="" textlink="">
          <xdr:nvSpPr>
            <xdr:cNvPr id="604255" name="Option Button 95" hidden="1">
              <a:extLst>
                <a:ext uri="{63B3BB69-23CF-44E3-9099-C40C66FF867C}">
                  <a14:compatExt spid="_x0000_s604255"/>
                </a:ext>
                <a:ext uri="{FF2B5EF4-FFF2-40B4-BE49-F238E27FC236}">
                  <a16:creationId xmlns:a16="http://schemas.microsoft.com/office/drawing/2014/main" id="{00000000-0008-0000-1C00-00005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11</xdr:col>
          <xdr:colOff>200025</xdr:colOff>
          <xdr:row>17</xdr:row>
          <xdr:rowOff>0</xdr:rowOff>
        </xdr:to>
        <xdr:sp macro="" textlink="">
          <xdr:nvSpPr>
            <xdr:cNvPr id="604256" name="Group Box 96" hidden="1">
              <a:extLst>
                <a:ext uri="{63B3BB69-23CF-44E3-9099-C40C66FF867C}">
                  <a14:compatExt spid="_x0000_s604256"/>
                </a:ext>
                <a:ext uri="{FF2B5EF4-FFF2-40B4-BE49-F238E27FC236}">
                  <a16:creationId xmlns:a16="http://schemas.microsoft.com/office/drawing/2014/main" id="{00000000-0008-0000-1C00-000060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17</xdr:row>
          <xdr:rowOff>38100</xdr:rowOff>
        </xdr:from>
        <xdr:to>
          <xdr:col>2</xdr:col>
          <xdr:colOff>609600</xdr:colOff>
          <xdr:row>17</xdr:row>
          <xdr:rowOff>314325</xdr:rowOff>
        </xdr:to>
        <xdr:sp macro="" textlink="">
          <xdr:nvSpPr>
            <xdr:cNvPr id="604257" name="Option Button 97" hidden="1">
              <a:extLst>
                <a:ext uri="{63B3BB69-23CF-44E3-9099-C40C66FF867C}">
                  <a14:compatExt spid="_x0000_s604257"/>
                </a:ext>
                <a:ext uri="{FF2B5EF4-FFF2-40B4-BE49-F238E27FC236}">
                  <a16:creationId xmlns:a16="http://schemas.microsoft.com/office/drawing/2014/main" id="{00000000-0008-0000-1C00-00006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xdr:row>
          <xdr:rowOff>28575</xdr:rowOff>
        </xdr:from>
        <xdr:to>
          <xdr:col>3</xdr:col>
          <xdr:colOff>609600</xdr:colOff>
          <xdr:row>17</xdr:row>
          <xdr:rowOff>314325</xdr:rowOff>
        </xdr:to>
        <xdr:sp macro="" textlink="">
          <xdr:nvSpPr>
            <xdr:cNvPr id="604258" name="Option Button 98" hidden="1">
              <a:extLst>
                <a:ext uri="{63B3BB69-23CF-44E3-9099-C40C66FF867C}">
                  <a14:compatExt spid="_x0000_s604258"/>
                </a:ext>
                <a:ext uri="{FF2B5EF4-FFF2-40B4-BE49-F238E27FC236}">
                  <a16:creationId xmlns:a16="http://schemas.microsoft.com/office/drawing/2014/main" id="{00000000-0008-0000-1C00-00006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17</xdr:row>
          <xdr:rowOff>28575</xdr:rowOff>
        </xdr:from>
        <xdr:to>
          <xdr:col>4</xdr:col>
          <xdr:colOff>600075</xdr:colOff>
          <xdr:row>17</xdr:row>
          <xdr:rowOff>314325</xdr:rowOff>
        </xdr:to>
        <xdr:sp macro="" textlink="">
          <xdr:nvSpPr>
            <xdr:cNvPr id="604259" name="Option Button 99" hidden="1">
              <a:extLst>
                <a:ext uri="{63B3BB69-23CF-44E3-9099-C40C66FF867C}">
                  <a14:compatExt spid="_x0000_s604259"/>
                </a:ext>
                <a:ext uri="{FF2B5EF4-FFF2-40B4-BE49-F238E27FC236}">
                  <a16:creationId xmlns:a16="http://schemas.microsoft.com/office/drawing/2014/main" id="{00000000-0008-0000-1C00-00006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17</xdr:row>
          <xdr:rowOff>38100</xdr:rowOff>
        </xdr:from>
        <xdr:to>
          <xdr:col>5</xdr:col>
          <xdr:colOff>600075</xdr:colOff>
          <xdr:row>17</xdr:row>
          <xdr:rowOff>314325</xdr:rowOff>
        </xdr:to>
        <xdr:sp macro="" textlink="">
          <xdr:nvSpPr>
            <xdr:cNvPr id="604260" name="Option Button 100" hidden="1">
              <a:extLst>
                <a:ext uri="{63B3BB69-23CF-44E3-9099-C40C66FF867C}">
                  <a14:compatExt spid="_x0000_s604260"/>
                </a:ext>
                <a:ext uri="{FF2B5EF4-FFF2-40B4-BE49-F238E27FC236}">
                  <a16:creationId xmlns:a16="http://schemas.microsoft.com/office/drawing/2014/main" id="{00000000-0008-0000-1C00-00006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17</xdr:row>
          <xdr:rowOff>38100</xdr:rowOff>
        </xdr:from>
        <xdr:to>
          <xdr:col>6</xdr:col>
          <xdr:colOff>571500</xdr:colOff>
          <xdr:row>17</xdr:row>
          <xdr:rowOff>314325</xdr:rowOff>
        </xdr:to>
        <xdr:sp macro="" textlink="">
          <xdr:nvSpPr>
            <xdr:cNvPr id="604261" name="Option Button 101" hidden="1">
              <a:extLst>
                <a:ext uri="{63B3BB69-23CF-44E3-9099-C40C66FF867C}">
                  <a14:compatExt spid="_x0000_s604261"/>
                </a:ext>
                <a:ext uri="{FF2B5EF4-FFF2-40B4-BE49-F238E27FC236}">
                  <a16:creationId xmlns:a16="http://schemas.microsoft.com/office/drawing/2014/main" id="{00000000-0008-0000-1C00-00006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17</xdr:row>
          <xdr:rowOff>28575</xdr:rowOff>
        </xdr:from>
        <xdr:to>
          <xdr:col>7</xdr:col>
          <xdr:colOff>600075</xdr:colOff>
          <xdr:row>17</xdr:row>
          <xdr:rowOff>314325</xdr:rowOff>
        </xdr:to>
        <xdr:sp macro="" textlink="">
          <xdr:nvSpPr>
            <xdr:cNvPr id="604262" name="Option Button 102" hidden="1">
              <a:extLst>
                <a:ext uri="{63B3BB69-23CF-44E3-9099-C40C66FF867C}">
                  <a14:compatExt spid="_x0000_s604262"/>
                </a:ext>
                <a:ext uri="{FF2B5EF4-FFF2-40B4-BE49-F238E27FC236}">
                  <a16:creationId xmlns:a16="http://schemas.microsoft.com/office/drawing/2014/main" id="{00000000-0008-0000-1C00-00006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11</xdr:col>
          <xdr:colOff>200025</xdr:colOff>
          <xdr:row>18</xdr:row>
          <xdr:rowOff>0</xdr:rowOff>
        </xdr:to>
        <xdr:sp macro="" textlink="">
          <xdr:nvSpPr>
            <xdr:cNvPr id="604263" name="Group Box 103" hidden="1">
              <a:extLst>
                <a:ext uri="{63B3BB69-23CF-44E3-9099-C40C66FF867C}">
                  <a14:compatExt spid="_x0000_s604263"/>
                </a:ext>
                <a:ext uri="{FF2B5EF4-FFF2-40B4-BE49-F238E27FC236}">
                  <a16:creationId xmlns:a16="http://schemas.microsoft.com/office/drawing/2014/main" id="{00000000-0008-0000-1C00-000067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18</xdr:row>
          <xdr:rowOff>38100</xdr:rowOff>
        </xdr:from>
        <xdr:to>
          <xdr:col>2</xdr:col>
          <xdr:colOff>609600</xdr:colOff>
          <xdr:row>18</xdr:row>
          <xdr:rowOff>314325</xdr:rowOff>
        </xdr:to>
        <xdr:sp macro="" textlink="">
          <xdr:nvSpPr>
            <xdr:cNvPr id="604264" name="Option Button 104" hidden="1">
              <a:extLst>
                <a:ext uri="{63B3BB69-23CF-44E3-9099-C40C66FF867C}">
                  <a14:compatExt spid="_x0000_s604264"/>
                </a:ext>
                <a:ext uri="{FF2B5EF4-FFF2-40B4-BE49-F238E27FC236}">
                  <a16:creationId xmlns:a16="http://schemas.microsoft.com/office/drawing/2014/main" id="{00000000-0008-0000-1C00-00006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xdr:row>
          <xdr:rowOff>28575</xdr:rowOff>
        </xdr:from>
        <xdr:to>
          <xdr:col>3</xdr:col>
          <xdr:colOff>609600</xdr:colOff>
          <xdr:row>18</xdr:row>
          <xdr:rowOff>314325</xdr:rowOff>
        </xdr:to>
        <xdr:sp macro="" textlink="">
          <xdr:nvSpPr>
            <xdr:cNvPr id="604265" name="Option Button 105" hidden="1">
              <a:extLst>
                <a:ext uri="{63B3BB69-23CF-44E3-9099-C40C66FF867C}">
                  <a14:compatExt spid="_x0000_s604265"/>
                </a:ext>
                <a:ext uri="{FF2B5EF4-FFF2-40B4-BE49-F238E27FC236}">
                  <a16:creationId xmlns:a16="http://schemas.microsoft.com/office/drawing/2014/main" id="{00000000-0008-0000-1C00-00006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18</xdr:row>
          <xdr:rowOff>28575</xdr:rowOff>
        </xdr:from>
        <xdr:to>
          <xdr:col>4</xdr:col>
          <xdr:colOff>600075</xdr:colOff>
          <xdr:row>18</xdr:row>
          <xdr:rowOff>314325</xdr:rowOff>
        </xdr:to>
        <xdr:sp macro="" textlink="">
          <xdr:nvSpPr>
            <xdr:cNvPr id="604266" name="Option Button 106" hidden="1">
              <a:extLst>
                <a:ext uri="{63B3BB69-23CF-44E3-9099-C40C66FF867C}">
                  <a14:compatExt spid="_x0000_s604266"/>
                </a:ext>
                <a:ext uri="{FF2B5EF4-FFF2-40B4-BE49-F238E27FC236}">
                  <a16:creationId xmlns:a16="http://schemas.microsoft.com/office/drawing/2014/main" id="{00000000-0008-0000-1C00-00006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18</xdr:row>
          <xdr:rowOff>38100</xdr:rowOff>
        </xdr:from>
        <xdr:to>
          <xdr:col>5</xdr:col>
          <xdr:colOff>600075</xdr:colOff>
          <xdr:row>18</xdr:row>
          <xdr:rowOff>314325</xdr:rowOff>
        </xdr:to>
        <xdr:sp macro="" textlink="">
          <xdr:nvSpPr>
            <xdr:cNvPr id="604267" name="Option Button 107" hidden="1">
              <a:extLst>
                <a:ext uri="{63B3BB69-23CF-44E3-9099-C40C66FF867C}">
                  <a14:compatExt spid="_x0000_s604267"/>
                </a:ext>
                <a:ext uri="{FF2B5EF4-FFF2-40B4-BE49-F238E27FC236}">
                  <a16:creationId xmlns:a16="http://schemas.microsoft.com/office/drawing/2014/main" id="{00000000-0008-0000-1C00-00006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18</xdr:row>
          <xdr:rowOff>38100</xdr:rowOff>
        </xdr:from>
        <xdr:to>
          <xdr:col>6</xdr:col>
          <xdr:colOff>571500</xdr:colOff>
          <xdr:row>18</xdr:row>
          <xdr:rowOff>314325</xdr:rowOff>
        </xdr:to>
        <xdr:sp macro="" textlink="">
          <xdr:nvSpPr>
            <xdr:cNvPr id="604268" name="Option Button 108" hidden="1">
              <a:extLst>
                <a:ext uri="{63B3BB69-23CF-44E3-9099-C40C66FF867C}">
                  <a14:compatExt spid="_x0000_s604268"/>
                </a:ext>
                <a:ext uri="{FF2B5EF4-FFF2-40B4-BE49-F238E27FC236}">
                  <a16:creationId xmlns:a16="http://schemas.microsoft.com/office/drawing/2014/main" id="{00000000-0008-0000-1C00-00006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18</xdr:row>
          <xdr:rowOff>28575</xdr:rowOff>
        </xdr:from>
        <xdr:to>
          <xdr:col>7</xdr:col>
          <xdr:colOff>600075</xdr:colOff>
          <xdr:row>18</xdr:row>
          <xdr:rowOff>314325</xdr:rowOff>
        </xdr:to>
        <xdr:sp macro="" textlink="">
          <xdr:nvSpPr>
            <xdr:cNvPr id="604269" name="Option Button 109" hidden="1">
              <a:extLst>
                <a:ext uri="{63B3BB69-23CF-44E3-9099-C40C66FF867C}">
                  <a14:compatExt spid="_x0000_s604269"/>
                </a:ext>
                <a:ext uri="{FF2B5EF4-FFF2-40B4-BE49-F238E27FC236}">
                  <a16:creationId xmlns:a16="http://schemas.microsoft.com/office/drawing/2014/main" id="{00000000-0008-0000-1C00-00006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11</xdr:col>
          <xdr:colOff>200025</xdr:colOff>
          <xdr:row>19</xdr:row>
          <xdr:rowOff>0</xdr:rowOff>
        </xdr:to>
        <xdr:sp macro="" textlink="">
          <xdr:nvSpPr>
            <xdr:cNvPr id="604270" name="Group Box 110" hidden="1">
              <a:extLst>
                <a:ext uri="{63B3BB69-23CF-44E3-9099-C40C66FF867C}">
                  <a14:compatExt spid="_x0000_s604270"/>
                </a:ext>
                <a:ext uri="{FF2B5EF4-FFF2-40B4-BE49-F238E27FC236}">
                  <a16:creationId xmlns:a16="http://schemas.microsoft.com/office/drawing/2014/main" id="{00000000-0008-0000-1C00-00006E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19</xdr:row>
          <xdr:rowOff>38100</xdr:rowOff>
        </xdr:from>
        <xdr:to>
          <xdr:col>2</xdr:col>
          <xdr:colOff>609600</xdr:colOff>
          <xdr:row>19</xdr:row>
          <xdr:rowOff>314325</xdr:rowOff>
        </xdr:to>
        <xdr:sp macro="" textlink="">
          <xdr:nvSpPr>
            <xdr:cNvPr id="604271" name="Option Button 111" hidden="1">
              <a:extLst>
                <a:ext uri="{63B3BB69-23CF-44E3-9099-C40C66FF867C}">
                  <a14:compatExt spid="_x0000_s604271"/>
                </a:ext>
                <a:ext uri="{FF2B5EF4-FFF2-40B4-BE49-F238E27FC236}">
                  <a16:creationId xmlns:a16="http://schemas.microsoft.com/office/drawing/2014/main" id="{00000000-0008-0000-1C00-00006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19</xdr:row>
          <xdr:rowOff>28575</xdr:rowOff>
        </xdr:from>
        <xdr:to>
          <xdr:col>3</xdr:col>
          <xdr:colOff>609600</xdr:colOff>
          <xdr:row>19</xdr:row>
          <xdr:rowOff>314325</xdr:rowOff>
        </xdr:to>
        <xdr:sp macro="" textlink="">
          <xdr:nvSpPr>
            <xdr:cNvPr id="604272" name="Option Button 112" hidden="1">
              <a:extLst>
                <a:ext uri="{63B3BB69-23CF-44E3-9099-C40C66FF867C}">
                  <a14:compatExt spid="_x0000_s604272"/>
                </a:ext>
                <a:ext uri="{FF2B5EF4-FFF2-40B4-BE49-F238E27FC236}">
                  <a16:creationId xmlns:a16="http://schemas.microsoft.com/office/drawing/2014/main" id="{00000000-0008-0000-1C00-00007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19</xdr:row>
          <xdr:rowOff>28575</xdr:rowOff>
        </xdr:from>
        <xdr:to>
          <xdr:col>4</xdr:col>
          <xdr:colOff>600075</xdr:colOff>
          <xdr:row>19</xdr:row>
          <xdr:rowOff>314325</xdr:rowOff>
        </xdr:to>
        <xdr:sp macro="" textlink="">
          <xdr:nvSpPr>
            <xdr:cNvPr id="604273" name="Option Button 113" hidden="1">
              <a:extLst>
                <a:ext uri="{63B3BB69-23CF-44E3-9099-C40C66FF867C}">
                  <a14:compatExt spid="_x0000_s604273"/>
                </a:ext>
                <a:ext uri="{FF2B5EF4-FFF2-40B4-BE49-F238E27FC236}">
                  <a16:creationId xmlns:a16="http://schemas.microsoft.com/office/drawing/2014/main" id="{00000000-0008-0000-1C00-00007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19</xdr:row>
          <xdr:rowOff>38100</xdr:rowOff>
        </xdr:from>
        <xdr:to>
          <xdr:col>5</xdr:col>
          <xdr:colOff>600075</xdr:colOff>
          <xdr:row>19</xdr:row>
          <xdr:rowOff>314325</xdr:rowOff>
        </xdr:to>
        <xdr:sp macro="" textlink="">
          <xdr:nvSpPr>
            <xdr:cNvPr id="604274" name="Option Button 114" hidden="1">
              <a:extLst>
                <a:ext uri="{63B3BB69-23CF-44E3-9099-C40C66FF867C}">
                  <a14:compatExt spid="_x0000_s604274"/>
                </a:ext>
                <a:ext uri="{FF2B5EF4-FFF2-40B4-BE49-F238E27FC236}">
                  <a16:creationId xmlns:a16="http://schemas.microsoft.com/office/drawing/2014/main" id="{00000000-0008-0000-1C00-00007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19</xdr:row>
          <xdr:rowOff>38100</xdr:rowOff>
        </xdr:from>
        <xdr:to>
          <xdr:col>6</xdr:col>
          <xdr:colOff>571500</xdr:colOff>
          <xdr:row>19</xdr:row>
          <xdr:rowOff>314325</xdr:rowOff>
        </xdr:to>
        <xdr:sp macro="" textlink="">
          <xdr:nvSpPr>
            <xdr:cNvPr id="604275" name="Option Button 115" hidden="1">
              <a:extLst>
                <a:ext uri="{63B3BB69-23CF-44E3-9099-C40C66FF867C}">
                  <a14:compatExt spid="_x0000_s604275"/>
                </a:ext>
                <a:ext uri="{FF2B5EF4-FFF2-40B4-BE49-F238E27FC236}">
                  <a16:creationId xmlns:a16="http://schemas.microsoft.com/office/drawing/2014/main" id="{00000000-0008-0000-1C00-00007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19</xdr:row>
          <xdr:rowOff>28575</xdr:rowOff>
        </xdr:from>
        <xdr:to>
          <xdr:col>7</xdr:col>
          <xdr:colOff>600075</xdr:colOff>
          <xdr:row>19</xdr:row>
          <xdr:rowOff>314325</xdr:rowOff>
        </xdr:to>
        <xdr:sp macro="" textlink="">
          <xdr:nvSpPr>
            <xdr:cNvPr id="604276" name="Option Button 116" hidden="1">
              <a:extLst>
                <a:ext uri="{63B3BB69-23CF-44E3-9099-C40C66FF867C}">
                  <a14:compatExt spid="_x0000_s604276"/>
                </a:ext>
                <a:ext uri="{FF2B5EF4-FFF2-40B4-BE49-F238E27FC236}">
                  <a16:creationId xmlns:a16="http://schemas.microsoft.com/office/drawing/2014/main" id="{00000000-0008-0000-1C00-00007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11</xdr:col>
          <xdr:colOff>200025</xdr:colOff>
          <xdr:row>20</xdr:row>
          <xdr:rowOff>0</xdr:rowOff>
        </xdr:to>
        <xdr:sp macro="" textlink="">
          <xdr:nvSpPr>
            <xdr:cNvPr id="604277" name="Group Box 117" hidden="1">
              <a:extLst>
                <a:ext uri="{63B3BB69-23CF-44E3-9099-C40C66FF867C}">
                  <a14:compatExt spid="_x0000_s604277"/>
                </a:ext>
                <a:ext uri="{FF2B5EF4-FFF2-40B4-BE49-F238E27FC236}">
                  <a16:creationId xmlns:a16="http://schemas.microsoft.com/office/drawing/2014/main" id="{00000000-0008-0000-1C00-000075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20</xdr:row>
          <xdr:rowOff>38100</xdr:rowOff>
        </xdr:from>
        <xdr:to>
          <xdr:col>2</xdr:col>
          <xdr:colOff>609600</xdr:colOff>
          <xdr:row>20</xdr:row>
          <xdr:rowOff>314325</xdr:rowOff>
        </xdr:to>
        <xdr:sp macro="" textlink="">
          <xdr:nvSpPr>
            <xdr:cNvPr id="604278" name="Option Button 118" hidden="1">
              <a:extLst>
                <a:ext uri="{63B3BB69-23CF-44E3-9099-C40C66FF867C}">
                  <a14:compatExt spid="_x0000_s604278"/>
                </a:ext>
                <a:ext uri="{FF2B5EF4-FFF2-40B4-BE49-F238E27FC236}">
                  <a16:creationId xmlns:a16="http://schemas.microsoft.com/office/drawing/2014/main" id="{00000000-0008-0000-1C00-00007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20</xdr:row>
          <xdr:rowOff>28575</xdr:rowOff>
        </xdr:from>
        <xdr:to>
          <xdr:col>3</xdr:col>
          <xdr:colOff>609600</xdr:colOff>
          <xdr:row>20</xdr:row>
          <xdr:rowOff>314325</xdr:rowOff>
        </xdr:to>
        <xdr:sp macro="" textlink="">
          <xdr:nvSpPr>
            <xdr:cNvPr id="604279" name="Option Button 119" hidden="1">
              <a:extLst>
                <a:ext uri="{63B3BB69-23CF-44E3-9099-C40C66FF867C}">
                  <a14:compatExt spid="_x0000_s604279"/>
                </a:ext>
                <a:ext uri="{FF2B5EF4-FFF2-40B4-BE49-F238E27FC236}">
                  <a16:creationId xmlns:a16="http://schemas.microsoft.com/office/drawing/2014/main" id="{00000000-0008-0000-1C00-00007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20</xdr:row>
          <xdr:rowOff>28575</xdr:rowOff>
        </xdr:from>
        <xdr:to>
          <xdr:col>4</xdr:col>
          <xdr:colOff>600075</xdr:colOff>
          <xdr:row>20</xdr:row>
          <xdr:rowOff>314325</xdr:rowOff>
        </xdr:to>
        <xdr:sp macro="" textlink="">
          <xdr:nvSpPr>
            <xdr:cNvPr id="604280" name="Option Button 120" hidden="1">
              <a:extLst>
                <a:ext uri="{63B3BB69-23CF-44E3-9099-C40C66FF867C}">
                  <a14:compatExt spid="_x0000_s604280"/>
                </a:ext>
                <a:ext uri="{FF2B5EF4-FFF2-40B4-BE49-F238E27FC236}">
                  <a16:creationId xmlns:a16="http://schemas.microsoft.com/office/drawing/2014/main" id="{00000000-0008-0000-1C00-00007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20</xdr:row>
          <xdr:rowOff>38100</xdr:rowOff>
        </xdr:from>
        <xdr:to>
          <xdr:col>5</xdr:col>
          <xdr:colOff>600075</xdr:colOff>
          <xdr:row>20</xdr:row>
          <xdr:rowOff>314325</xdr:rowOff>
        </xdr:to>
        <xdr:sp macro="" textlink="">
          <xdr:nvSpPr>
            <xdr:cNvPr id="604281" name="Option Button 121" hidden="1">
              <a:extLst>
                <a:ext uri="{63B3BB69-23CF-44E3-9099-C40C66FF867C}">
                  <a14:compatExt spid="_x0000_s604281"/>
                </a:ext>
                <a:ext uri="{FF2B5EF4-FFF2-40B4-BE49-F238E27FC236}">
                  <a16:creationId xmlns:a16="http://schemas.microsoft.com/office/drawing/2014/main" id="{00000000-0008-0000-1C00-00007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20</xdr:row>
          <xdr:rowOff>38100</xdr:rowOff>
        </xdr:from>
        <xdr:to>
          <xdr:col>6</xdr:col>
          <xdr:colOff>571500</xdr:colOff>
          <xdr:row>20</xdr:row>
          <xdr:rowOff>314325</xdr:rowOff>
        </xdr:to>
        <xdr:sp macro="" textlink="">
          <xdr:nvSpPr>
            <xdr:cNvPr id="604282" name="Option Button 122" hidden="1">
              <a:extLst>
                <a:ext uri="{63B3BB69-23CF-44E3-9099-C40C66FF867C}">
                  <a14:compatExt spid="_x0000_s604282"/>
                </a:ext>
                <a:ext uri="{FF2B5EF4-FFF2-40B4-BE49-F238E27FC236}">
                  <a16:creationId xmlns:a16="http://schemas.microsoft.com/office/drawing/2014/main" id="{00000000-0008-0000-1C00-00007A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20</xdr:row>
          <xdr:rowOff>28575</xdr:rowOff>
        </xdr:from>
        <xdr:to>
          <xdr:col>7</xdr:col>
          <xdr:colOff>600075</xdr:colOff>
          <xdr:row>20</xdr:row>
          <xdr:rowOff>314325</xdr:rowOff>
        </xdr:to>
        <xdr:sp macro="" textlink="">
          <xdr:nvSpPr>
            <xdr:cNvPr id="604283" name="Option Button 123" hidden="1">
              <a:extLst>
                <a:ext uri="{63B3BB69-23CF-44E3-9099-C40C66FF867C}">
                  <a14:compatExt spid="_x0000_s604283"/>
                </a:ext>
                <a:ext uri="{FF2B5EF4-FFF2-40B4-BE49-F238E27FC236}">
                  <a16:creationId xmlns:a16="http://schemas.microsoft.com/office/drawing/2014/main" id="{00000000-0008-0000-1C00-00007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11</xdr:col>
          <xdr:colOff>200025</xdr:colOff>
          <xdr:row>21</xdr:row>
          <xdr:rowOff>0</xdr:rowOff>
        </xdr:to>
        <xdr:sp macro="" textlink="">
          <xdr:nvSpPr>
            <xdr:cNvPr id="604284" name="Group Box 124" hidden="1">
              <a:extLst>
                <a:ext uri="{63B3BB69-23CF-44E3-9099-C40C66FF867C}">
                  <a14:compatExt spid="_x0000_s604284"/>
                </a:ext>
                <a:ext uri="{FF2B5EF4-FFF2-40B4-BE49-F238E27FC236}">
                  <a16:creationId xmlns:a16="http://schemas.microsoft.com/office/drawing/2014/main" id="{00000000-0008-0000-1C00-00007C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21</xdr:row>
          <xdr:rowOff>38100</xdr:rowOff>
        </xdr:from>
        <xdr:to>
          <xdr:col>2</xdr:col>
          <xdr:colOff>609600</xdr:colOff>
          <xdr:row>21</xdr:row>
          <xdr:rowOff>314325</xdr:rowOff>
        </xdr:to>
        <xdr:sp macro="" textlink="">
          <xdr:nvSpPr>
            <xdr:cNvPr id="604285" name="Option Button 125" hidden="1">
              <a:extLst>
                <a:ext uri="{63B3BB69-23CF-44E3-9099-C40C66FF867C}">
                  <a14:compatExt spid="_x0000_s604285"/>
                </a:ext>
                <a:ext uri="{FF2B5EF4-FFF2-40B4-BE49-F238E27FC236}">
                  <a16:creationId xmlns:a16="http://schemas.microsoft.com/office/drawing/2014/main" id="{00000000-0008-0000-1C00-00007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21</xdr:row>
          <xdr:rowOff>28575</xdr:rowOff>
        </xdr:from>
        <xdr:to>
          <xdr:col>3</xdr:col>
          <xdr:colOff>609600</xdr:colOff>
          <xdr:row>21</xdr:row>
          <xdr:rowOff>314325</xdr:rowOff>
        </xdr:to>
        <xdr:sp macro="" textlink="">
          <xdr:nvSpPr>
            <xdr:cNvPr id="604286" name="Option Button 126" hidden="1">
              <a:extLst>
                <a:ext uri="{63B3BB69-23CF-44E3-9099-C40C66FF867C}">
                  <a14:compatExt spid="_x0000_s604286"/>
                </a:ext>
                <a:ext uri="{FF2B5EF4-FFF2-40B4-BE49-F238E27FC236}">
                  <a16:creationId xmlns:a16="http://schemas.microsoft.com/office/drawing/2014/main" id="{00000000-0008-0000-1C00-00007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21</xdr:row>
          <xdr:rowOff>28575</xdr:rowOff>
        </xdr:from>
        <xdr:to>
          <xdr:col>4</xdr:col>
          <xdr:colOff>600075</xdr:colOff>
          <xdr:row>21</xdr:row>
          <xdr:rowOff>314325</xdr:rowOff>
        </xdr:to>
        <xdr:sp macro="" textlink="">
          <xdr:nvSpPr>
            <xdr:cNvPr id="604287" name="Option Button 127" hidden="1">
              <a:extLst>
                <a:ext uri="{63B3BB69-23CF-44E3-9099-C40C66FF867C}">
                  <a14:compatExt spid="_x0000_s604287"/>
                </a:ext>
                <a:ext uri="{FF2B5EF4-FFF2-40B4-BE49-F238E27FC236}">
                  <a16:creationId xmlns:a16="http://schemas.microsoft.com/office/drawing/2014/main" id="{00000000-0008-0000-1C00-00007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21</xdr:row>
          <xdr:rowOff>38100</xdr:rowOff>
        </xdr:from>
        <xdr:to>
          <xdr:col>5</xdr:col>
          <xdr:colOff>600075</xdr:colOff>
          <xdr:row>21</xdr:row>
          <xdr:rowOff>314325</xdr:rowOff>
        </xdr:to>
        <xdr:sp macro="" textlink="">
          <xdr:nvSpPr>
            <xdr:cNvPr id="604288" name="Option Button 128" hidden="1">
              <a:extLst>
                <a:ext uri="{63B3BB69-23CF-44E3-9099-C40C66FF867C}">
                  <a14:compatExt spid="_x0000_s604288"/>
                </a:ext>
                <a:ext uri="{FF2B5EF4-FFF2-40B4-BE49-F238E27FC236}">
                  <a16:creationId xmlns:a16="http://schemas.microsoft.com/office/drawing/2014/main" id="{00000000-0008-0000-1C00-00008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21</xdr:row>
          <xdr:rowOff>38100</xdr:rowOff>
        </xdr:from>
        <xdr:to>
          <xdr:col>6</xdr:col>
          <xdr:colOff>571500</xdr:colOff>
          <xdr:row>21</xdr:row>
          <xdr:rowOff>314325</xdr:rowOff>
        </xdr:to>
        <xdr:sp macro="" textlink="">
          <xdr:nvSpPr>
            <xdr:cNvPr id="604289" name="Option Button 129" hidden="1">
              <a:extLst>
                <a:ext uri="{63B3BB69-23CF-44E3-9099-C40C66FF867C}">
                  <a14:compatExt spid="_x0000_s604289"/>
                </a:ext>
                <a:ext uri="{FF2B5EF4-FFF2-40B4-BE49-F238E27FC236}">
                  <a16:creationId xmlns:a16="http://schemas.microsoft.com/office/drawing/2014/main" id="{00000000-0008-0000-1C00-000081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21</xdr:row>
          <xdr:rowOff>28575</xdr:rowOff>
        </xdr:from>
        <xdr:to>
          <xdr:col>7</xdr:col>
          <xdr:colOff>600075</xdr:colOff>
          <xdr:row>21</xdr:row>
          <xdr:rowOff>314325</xdr:rowOff>
        </xdr:to>
        <xdr:sp macro="" textlink="">
          <xdr:nvSpPr>
            <xdr:cNvPr id="604290" name="Option Button 130" hidden="1">
              <a:extLst>
                <a:ext uri="{63B3BB69-23CF-44E3-9099-C40C66FF867C}">
                  <a14:compatExt spid="_x0000_s604290"/>
                </a:ext>
                <a:ext uri="{FF2B5EF4-FFF2-40B4-BE49-F238E27FC236}">
                  <a16:creationId xmlns:a16="http://schemas.microsoft.com/office/drawing/2014/main" id="{00000000-0008-0000-1C00-00008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11</xdr:col>
          <xdr:colOff>200025</xdr:colOff>
          <xdr:row>22</xdr:row>
          <xdr:rowOff>0</xdr:rowOff>
        </xdr:to>
        <xdr:sp macro="" textlink="">
          <xdr:nvSpPr>
            <xdr:cNvPr id="604291" name="Group Box 131" hidden="1">
              <a:extLst>
                <a:ext uri="{63B3BB69-23CF-44E3-9099-C40C66FF867C}">
                  <a14:compatExt spid="_x0000_s604291"/>
                </a:ext>
                <a:ext uri="{FF2B5EF4-FFF2-40B4-BE49-F238E27FC236}">
                  <a16:creationId xmlns:a16="http://schemas.microsoft.com/office/drawing/2014/main" id="{00000000-0008-0000-1C00-000083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22</xdr:row>
          <xdr:rowOff>38100</xdr:rowOff>
        </xdr:from>
        <xdr:to>
          <xdr:col>2</xdr:col>
          <xdr:colOff>609600</xdr:colOff>
          <xdr:row>22</xdr:row>
          <xdr:rowOff>314325</xdr:rowOff>
        </xdr:to>
        <xdr:sp macro="" textlink="">
          <xdr:nvSpPr>
            <xdr:cNvPr id="604292" name="Option Button 132" hidden="1">
              <a:extLst>
                <a:ext uri="{63B3BB69-23CF-44E3-9099-C40C66FF867C}">
                  <a14:compatExt spid="_x0000_s604292"/>
                </a:ext>
                <a:ext uri="{FF2B5EF4-FFF2-40B4-BE49-F238E27FC236}">
                  <a16:creationId xmlns:a16="http://schemas.microsoft.com/office/drawing/2014/main" id="{00000000-0008-0000-1C00-00008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22</xdr:row>
          <xdr:rowOff>28575</xdr:rowOff>
        </xdr:from>
        <xdr:to>
          <xdr:col>3</xdr:col>
          <xdr:colOff>609600</xdr:colOff>
          <xdr:row>22</xdr:row>
          <xdr:rowOff>314325</xdr:rowOff>
        </xdr:to>
        <xdr:sp macro="" textlink="">
          <xdr:nvSpPr>
            <xdr:cNvPr id="604293" name="Option Button 133" hidden="1">
              <a:extLst>
                <a:ext uri="{63B3BB69-23CF-44E3-9099-C40C66FF867C}">
                  <a14:compatExt spid="_x0000_s604293"/>
                </a:ext>
                <a:ext uri="{FF2B5EF4-FFF2-40B4-BE49-F238E27FC236}">
                  <a16:creationId xmlns:a16="http://schemas.microsoft.com/office/drawing/2014/main" id="{00000000-0008-0000-1C00-00008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22</xdr:row>
          <xdr:rowOff>28575</xdr:rowOff>
        </xdr:from>
        <xdr:to>
          <xdr:col>4</xdr:col>
          <xdr:colOff>600075</xdr:colOff>
          <xdr:row>22</xdr:row>
          <xdr:rowOff>314325</xdr:rowOff>
        </xdr:to>
        <xdr:sp macro="" textlink="">
          <xdr:nvSpPr>
            <xdr:cNvPr id="604294" name="Option Button 134" hidden="1">
              <a:extLst>
                <a:ext uri="{63B3BB69-23CF-44E3-9099-C40C66FF867C}">
                  <a14:compatExt spid="_x0000_s604294"/>
                </a:ext>
                <a:ext uri="{FF2B5EF4-FFF2-40B4-BE49-F238E27FC236}">
                  <a16:creationId xmlns:a16="http://schemas.microsoft.com/office/drawing/2014/main" id="{00000000-0008-0000-1C00-00008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22</xdr:row>
          <xdr:rowOff>38100</xdr:rowOff>
        </xdr:from>
        <xdr:to>
          <xdr:col>5</xdr:col>
          <xdr:colOff>600075</xdr:colOff>
          <xdr:row>22</xdr:row>
          <xdr:rowOff>314325</xdr:rowOff>
        </xdr:to>
        <xdr:sp macro="" textlink="">
          <xdr:nvSpPr>
            <xdr:cNvPr id="604295" name="Option Button 135" hidden="1">
              <a:extLst>
                <a:ext uri="{63B3BB69-23CF-44E3-9099-C40C66FF867C}">
                  <a14:compatExt spid="_x0000_s604295"/>
                </a:ext>
                <a:ext uri="{FF2B5EF4-FFF2-40B4-BE49-F238E27FC236}">
                  <a16:creationId xmlns:a16="http://schemas.microsoft.com/office/drawing/2014/main" id="{00000000-0008-0000-1C00-00008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22</xdr:row>
          <xdr:rowOff>38100</xdr:rowOff>
        </xdr:from>
        <xdr:to>
          <xdr:col>6</xdr:col>
          <xdr:colOff>571500</xdr:colOff>
          <xdr:row>22</xdr:row>
          <xdr:rowOff>314325</xdr:rowOff>
        </xdr:to>
        <xdr:sp macro="" textlink="">
          <xdr:nvSpPr>
            <xdr:cNvPr id="604296" name="Option Button 136" hidden="1">
              <a:extLst>
                <a:ext uri="{63B3BB69-23CF-44E3-9099-C40C66FF867C}">
                  <a14:compatExt spid="_x0000_s604296"/>
                </a:ext>
                <a:ext uri="{FF2B5EF4-FFF2-40B4-BE49-F238E27FC236}">
                  <a16:creationId xmlns:a16="http://schemas.microsoft.com/office/drawing/2014/main" id="{00000000-0008-0000-1C00-000088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22</xdr:row>
          <xdr:rowOff>28575</xdr:rowOff>
        </xdr:from>
        <xdr:to>
          <xdr:col>7</xdr:col>
          <xdr:colOff>600075</xdr:colOff>
          <xdr:row>22</xdr:row>
          <xdr:rowOff>314325</xdr:rowOff>
        </xdr:to>
        <xdr:sp macro="" textlink="">
          <xdr:nvSpPr>
            <xdr:cNvPr id="604297" name="Option Button 137" hidden="1">
              <a:extLst>
                <a:ext uri="{63B3BB69-23CF-44E3-9099-C40C66FF867C}">
                  <a14:compatExt spid="_x0000_s604297"/>
                </a:ext>
                <a:ext uri="{FF2B5EF4-FFF2-40B4-BE49-F238E27FC236}">
                  <a16:creationId xmlns:a16="http://schemas.microsoft.com/office/drawing/2014/main" id="{00000000-0008-0000-1C00-000089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11</xdr:col>
          <xdr:colOff>200025</xdr:colOff>
          <xdr:row>23</xdr:row>
          <xdr:rowOff>0</xdr:rowOff>
        </xdr:to>
        <xdr:sp macro="" textlink="">
          <xdr:nvSpPr>
            <xdr:cNvPr id="604298" name="Group Box 138" hidden="1">
              <a:extLst>
                <a:ext uri="{63B3BB69-23CF-44E3-9099-C40C66FF867C}">
                  <a14:compatExt spid="_x0000_s604298"/>
                </a:ext>
                <a:ext uri="{FF2B5EF4-FFF2-40B4-BE49-F238E27FC236}">
                  <a16:creationId xmlns:a16="http://schemas.microsoft.com/office/drawing/2014/main" id="{00000000-0008-0000-1C00-00008A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23</xdr:row>
          <xdr:rowOff>38100</xdr:rowOff>
        </xdr:from>
        <xdr:to>
          <xdr:col>2</xdr:col>
          <xdr:colOff>609600</xdr:colOff>
          <xdr:row>23</xdr:row>
          <xdr:rowOff>314325</xdr:rowOff>
        </xdr:to>
        <xdr:sp macro="" textlink="">
          <xdr:nvSpPr>
            <xdr:cNvPr id="604299" name="Option Button 139" hidden="1">
              <a:extLst>
                <a:ext uri="{63B3BB69-23CF-44E3-9099-C40C66FF867C}">
                  <a14:compatExt spid="_x0000_s604299"/>
                </a:ext>
                <a:ext uri="{FF2B5EF4-FFF2-40B4-BE49-F238E27FC236}">
                  <a16:creationId xmlns:a16="http://schemas.microsoft.com/office/drawing/2014/main" id="{00000000-0008-0000-1C00-00008B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28575</xdr:rowOff>
        </xdr:from>
        <xdr:to>
          <xdr:col>3</xdr:col>
          <xdr:colOff>609600</xdr:colOff>
          <xdr:row>23</xdr:row>
          <xdr:rowOff>314325</xdr:rowOff>
        </xdr:to>
        <xdr:sp macro="" textlink="">
          <xdr:nvSpPr>
            <xdr:cNvPr id="604300" name="Option Button 140" hidden="1">
              <a:extLst>
                <a:ext uri="{63B3BB69-23CF-44E3-9099-C40C66FF867C}">
                  <a14:compatExt spid="_x0000_s604300"/>
                </a:ext>
                <a:ext uri="{FF2B5EF4-FFF2-40B4-BE49-F238E27FC236}">
                  <a16:creationId xmlns:a16="http://schemas.microsoft.com/office/drawing/2014/main" id="{00000000-0008-0000-1C00-00008C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23</xdr:row>
          <xdr:rowOff>28575</xdr:rowOff>
        </xdr:from>
        <xdr:to>
          <xdr:col>4</xdr:col>
          <xdr:colOff>600075</xdr:colOff>
          <xdr:row>23</xdr:row>
          <xdr:rowOff>314325</xdr:rowOff>
        </xdr:to>
        <xdr:sp macro="" textlink="">
          <xdr:nvSpPr>
            <xdr:cNvPr id="604301" name="Option Button 141" hidden="1">
              <a:extLst>
                <a:ext uri="{63B3BB69-23CF-44E3-9099-C40C66FF867C}">
                  <a14:compatExt spid="_x0000_s604301"/>
                </a:ext>
                <a:ext uri="{FF2B5EF4-FFF2-40B4-BE49-F238E27FC236}">
                  <a16:creationId xmlns:a16="http://schemas.microsoft.com/office/drawing/2014/main" id="{00000000-0008-0000-1C00-00008D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23</xdr:row>
          <xdr:rowOff>38100</xdr:rowOff>
        </xdr:from>
        <xdr:to>
          <xdr:col>5</xdr:col>
          <xdr:colOff>600075</xdr:colOff>
          <xdr:row>23</xdr:row>
          <xdr:rowOff>314325</xdr:rowOff>
        </xdr:to>
        <xdr:sp macro="" textlink="">
          <xdr:nvSpPr>
            <xdr:cNvPr id="604302" name="Option Button 142" hidden="1">
              <a:extLst>
                <a:ext uri="{63B3BB69-23CF-44E3-9099-C40C66FF867C}">
                  <a14:compatExt spid="_x0000_s604302"/>
                </a:ext>
                <a:ext uri="{FF2B5EF4-FFF2-40B4-BE49-F238E27FC236}">
                  <a16:creationId xmlns:a16="http://schemas.microsoft.com/office/drawing/2014/main" id="{00000000-0008-0000-1C00-00008E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23</xdr:row>
          <xdr:rowOff>38100</xdr:rowOff>
        </xdr:from>
        <xdr:to>
          <xdr:col>6</xdr:col>
          <xdr:colOff>571500</xdr:colOff>
          <xdr:row>23</xdr:row>
          <xdr:rowOff>314325</xdr:rowOff>
        </xdr:to>
        <xdr:sp macro="" textlink="">
          <xdr:nvSpPr>
            <xdr:cNvPr id="604303" name="Option Button 143" hidden="1">
              <a:extLst>
                <a:ext uri="{63B3BB69-23CF-44E3-9099-C40C66FF867C}">
                  <a14:compatExt spid="_x0000_s604303"/>
                </a:ext>
                <a:ext uri="{FF2B5EF4-FFF2-40B4-BE49-F238E27FC236}">
                  <a16:creationId xmlns:a16="http://schemas.microsoft.com/office/drawing/2014/main" id="{00000000-0008-0000-1C00-00008F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23</xdr:row>
          <xdr:rowOff>28575</xdr:rowOff>
        </xdr:from>
        <xdr:to>
          <xdr:col>7</xdr:col>
          <xdr:colOff>600075</xdr:colOff>
          <xdr:row>23</xdr:row>
          <xdr:rowOff>314325</xdr:rowOff>
        </xdr:to>
        <xdr:sp macro="" textlink="">
          <xdr:nvSpPr>
            <xdr:cNvPr id="604304" name="Option Button 144" hidden="1">
              <a:extLst>
                <a:ext uri="{63B3BB69-23CF-44E3-9099-C40C66FF867C}">
                  <a14:compatExt spid="_x0000_s604304"/>
                </a:ext>
                <a:ext uri="{FF2B5EF4-FFF2-40B4-BE49-F238E27FC236}">
                  <a16:creationId xmlns:a16="http://schemas.microsoft.com/office/drawing/2014/main" id="{00000000-0008-0000-1C00-000090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11</xdr:col>
          <xdr:colOff>200025</xdr:colOff>
          <xdr:row>24</xdr:row>
          <xdr:rowOff>0</xdr:rowOff>
        </xdr:to>
        <xdr:sp macro="" textlink="">
          <xdr:nvSpPr>
            <xdr:cNvPr id="604305" name="Group Box 145" hidden="1">
              <a:extLst>
                <a:ext uri="{63B3BB69-23CF-44E3-9099-C40C66FF867C}">
                  <a14:compatExt spid="_x0000_s604305"/>
                </a:ext>
                <a:ext uri="{FF2B5EF4-FFF2-40B4-BE49-F238E27FC236}">
                  <a16:creationId xmlns:a16="http://schemas.microsoft.com/office/drawing/2014/main" id="{00000000-0008-0000-1C00-000091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11</xdr:col>
          <xdr:colOff>200025</xdr:colOff>
          <xdr:row>25</xdr:row>
          <xdr:rowOff>0</xdr:rowOff>
        </xdr:to>
        <xdr:sp macro="" textlink="">
          <xdr:nvSpPr>
            <xdr:cNvPr id="604312" name="Group Box 152" hidden="1">
              <a:extLst>
                <a:ext uri="{63B3BB69-23CF-44E3-9099-C40C66FF867C}">
                  <a14:compatExt spid="_x0000_s604312"/>
                </a:ext>
                <a:ext uri="{FF2B5EF4-FFF2-40B4-BE49-F238E27FC236}">
                  <a16:creationId xmlns:a16="http://schemas.microsoft.com/office/drawing/2014/main" id="{00000000-0008-0000-1C00-000098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24</xdr:row>
          <xdr:rowOff>28575</xdr:rowOff>
        </xdr:from>
        <xdr:to>
          <xdr:col>2</xdr:col>
          <xdr:colOff>609600</xdr:colOff>
          <xdr:row>24</xdr:row>
          <xdr:rowOff>333375</xdr:rowOff>
        </xdr:to>
        <xdr:sp macro="" textlink="">
          <xdr:nvSpPr>
            <xdr:cNvPr id="604306" name="Option Button 146" hidden="1">
              <a:extLst>
                <a:ext uri="{63B3BB69-23CF-44E3-9099-C40C66FF867C}">
                  <a14:compatExt spid="_x0000_s604306"/>
                </a:ext>
                <a:ext uri="{FF2B5EF4-FFF2-40B4-BE49-F238E27FC236}">
                  <a16:creationId xmlns:a16="http://schemas.microsoft.com/office/drawing/2014/main" id="{00000000-0008-0000-1C00-000092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24</xdr:row>
          <xdr:rowOff>28575</xdr:rowOff>
        </xdr:from>
        <xdr:to>
          <xdr:col>3</xdr:col>
          <xdr:colOff>609600</xdr:colOff>
          <xdr:row>24</xdr:row>
          <xdr:rowOff>333375</xdr:rowOff>
        </xdr:to>
        <xdr:sp macro="" textlink="">
          <xdr:nvSpPr>
            <xdr:cNvPr id="604307" name="Option Button 147" hidden="1">
              <a:extLst>
                <a:ext uri="{63B3BB69-23CF-44E3-9099-C40C66FF867C}">
                  <a14:compatExt spid="_x0000_s604307"/>
                </a:ext>
                <a:ext uri="{FF2B5EF4-FFF2-40B4-BE49-F238E27FC236}">
                  <a16:creationId xmlns:a16="http://schemas.microsoft.com/office/drawing/2014/main" id="{00000000-0008-0000-1C00-000093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24</xdr:row>
          <xdr:rowOff>28575</xdr:rowOff>
        </xdr:from>
        <xdr:to>
          <xdr:col>4</xdr:col>
          <xdr:colOff>600075</xdr:colOff>
          <xdr:row>24</xdr:row>
          <xdr:rowOff>333375</xdr:rowOff>
        </xdr:to>
        <xdr:sp macro="" textlink="">
          <xdr:nvSpPr>
            <xdr:cNvPr id="604308" name="Option Button 148" hidden="1">
              <a:extLst>
                <a:ext uri="{63B3BB69-23CF-44E3-9099-C40C66FF867C}">
                  <a14:compatExt spid="_x0000_s604308"/>
                </a:ext>
                <a:ext uri="{FF2B5EF4-FFF2-40B4-BE49-F238E27FC236}">
                  <a16:creationId xmlns:a16="http://schemas.microsoft.com/office/drawing/2014/main" id="{00000000-0008-0000-1C00-000094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24</xdr:row>
          <xdr:rowOff>28575</xdr:rowOff>
        </xdr:from>
        <xdr:to>
          <xdr:col>5</xdr:col>
          <xdr:colOff>600075</xdr:colOff>
          <xdr:row>24</xdr:row>
          <xdr:rowOff>333375</xdr:rowOff>
        </xdr:to>
        <xdr:sp macro="" textlink="">
          <xdr:nvSpPr>
            <xdr:cNvPr id="604309" name="Option Button 149" hidden="1">
              <a:extLst>
                <a:ext uri="{63B3BB69-23CF-44E3-9099-C40C66FF867C}">
                  <a14:compatExt spid="_x0000_s604309"/>
                </a:ext>
                <a:ext uri="{FF2B5EF4-FFF2-40B4-BE49-F238E27FC236}">
                  <a16:creationId xmlns:a16="http://schemas.microsoft.com/office/drawing/2014/main" id="{00000000-0008-0000-1C00-000095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24</xdr:row>
          <xdr:rowOff>28575</xdr:rowOff>
        </xdr:from>
        <xdr:to>
          <xdr:col>6</xdr:col>
          <xdr:colOff>571500</xdr:colOff>
          <xdr:row>24</xdr:row>
          <xdr:rowOff>333375</xdr:rowOff>
        </xdr:to>
        <xdr:sp macro="" textlink="">
          <xdr:nvSpPr>
            <xdr:cNvPr id="604310" name="Option Button 150" hidden="1">
              <a:extLst>
                <a:ext uri="{63B3BB69-23CF-44E3-9099-C40C66FF867C}">
                  <a14:compatExt spid="_x0000_s604310"/>
                </a:ext>
                <a:ext uri="{FF2B5EF4-FFF2-40B4-BE49-F238E27FC236}">
                  <a16:creationId xmlns:a16="http://schemas.microsoft.com/office/drawing/2014/main" id="{00000000-0008-0000-1C00-000096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24</xdr:row>
          <xdr:rowOff>28575</xdr:rowOff>
        </xdr:from>
        <xdr:to>
          <xdr:col>7</xdr:col>
          <xdr:colOff>600075</xdr:colOff>
          <xdr:row>24</xdr:row>
          <xdr:rowOff>333375</xdr:rowOff>
        </xdr:to>
        <xdr:sp macro="" textlink="">
          <xdr:nvSpPr>
            <xdr:cNvPr id="604311" name="Option Button 151" hidden="1">
              <a:extLst>
                <a:ext uri="{63B3BB69-23CF-44E3-9099-C40C66FF867C}">
                  <a14:compatExt spid="_x0000_s604311"/>
                </a:ext>
                <a:ext uri="{FF2B5EF4-FFF2-40B4-BE49-F238E27FC236}">
                  <a16:creationId xmlns:a16="http://schemas.microsoft.com/office/drawing/2014/main" id="{00000000-0008-0000-1C00-0000973809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xdr:row>
          <xdr:rowOff>0</xdr:rowOff>
        </xdr:from>
        <xdr:to>
          <xdr:col>11</xdr:col>
          <xdr:colOff>219075</xdr:colOff>
          <xdr:row>4</xdr:row>
          <xdr:rowOff>9525</xdr:rowOff>
        </xdr:to>
        <xdr:sp macro="" textlink="">
          <xdr:nvSpPr>
            <xdr:cNvPr id="604313" name="Drop Down 153" hidden="1">
              <a:extLst>
                <a:ext uri="{63B3BB69-23CF-44E3-9099-C40C66FF867C}">
                  <a14:compatExt spid="_x0000_s604313"/>
                </a:ext>
                <a:ext uri="{FF2B5EF4-FFF2-40B4-BE49-F238E27FC236}">
                  <a16:creationId xmlns:a16="http://schemas.microsoft.com/office/drawing/2014/main" id="{00000000-0008-0000-1C00-000099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xdr:row>
          <xdr:rowOff>0</xdr:rowOff>
        </xdr:from>
        <xdr:to>
          <xdr:col>11</xdr:col>
          <xdr:colOff>219075</xdr:colOff>
          <xdr:row>5</xdr:row>
          <xdr:rowOff>0</xdr:rowOff>
        </xdr:to>
        <xdr:sp macro="" textlink="">
          <xdr:nvSpPr>
            <xdr:cNvPr id="604315" name="Drop Down 155" hidden="1">
              <a:extLst>
                <a:ext uri="{63B3BB69-23CF-44E3-9099-C40C66FF867C}">
                  <a14:compatExt spid="_x0000_s604315"/>
                </a:ext>
                <a:ext uri="{FF2B5EF4-FFF2-40B4-BE49-F238E27FC236}">
                  <a16:creationId xmlns:a16="http://schemas.microsoft.com/office/drawing/2014/main" id="{00000000-0008-0000-1C00-00009B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xdr:row>
          <xdr:rowOff>0</xdr:rowOff>
        </xdr:from>
        <xdr:to>
          <xdr:col>11</xdr:col>
          <xdr:colOff>219075</xdr:colOff>
          <xdr:row>6</xdr:row>
          <xdr:rowOff>0</xdr:rowOff>
        </xdr:to>
        <xdr:sp macro="" textlink="">
          <xdr:nvSpPr>
            <xdr:cNvPr id="604316" name="Drop Down 156" hidden="1">
              <a:extLst>
                <a:ext uri="{63B3BB69-23CF-44E3-9099-C40C66FF867C}">
                  <a14:compatExt spid="_x0000_s604316"/>
                </a:ext>
                <a:ext uri="{FF2B5EF4-FFF2-40B4-BE49-F238E27FC236}">
                  <a16:creationId xmlns:a16="http://schemas.microsoft.com/office/drawing/2014/main" id="{00000000-0008-0000-1C00-00009C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0</xdr:rowOff>
        </xdr:from>
        <xdr:to>
          <xdr:col>11</xdr:col>
          <xdr:colOff>219075</xdr:colOff>
          <xdr:row>7</xdr:row>
          <xdr:rowOff>0</xdr:rowOff>
        </xdr:to>
        <xdr:sp macro="" textlink="">
          <xdr:nvSpPr>
            <xdr:cNvPr id="604318" name="Drop Down 158" hidden="1">
              <a:extLst>
                <a:ext uri="{63B3BB69-23CF-44E3-9099-C40C66FF867C}">
                  <a14:compatExt spid="_x0000_s604318"/>
                </a:ext>
                <a:ext uri="{FF2B5EF4-FFF2-40B4-BE49-F238E27FC236}">
                  <a16:creationId xmlns:a16="http://schemas.microsoft.com/office/drawing/2014/main" id="{00000000-0008-0000-1C00-00009E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11</xdr:col>
          <xdr:colOff>219075</xdr:colOff>
          <xdr:row>8</xdr:row>
          <xdr:rowOff>0</xdr:rowOff>
        </xdr:to>
        <xdr:sp macro="" textlink="">
          <xdr:nvSpPr>
            <xdr:cNvPr id="604319" name="Drop Down 159" hidden="1">
              <a:extLst>
                <a:ext uri="{63B3BB69-23CF-44E3-9099-C40C66FF867C}">
                  <a14:compatExt spid="_x0000_s604319"/>
                </a:ext>
                <a:ext uri="{FF2B5EF4-FFF2-40B4-BE49-F238E27FC236}">
                  <a16:creationId xmlns:a16="http://schemas.microsoft.com/office/drawing/2014/main" id="{00000000-0008-0000-1C00-00009F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11</xdr:col>
          <xdr:colOff>219075</xdr:colOff>
          <xdr:row>9</xdr:row>
          <xdr:rowOff>0</xdr:rowOff>
        </xdr:to>
        <xdr:sp macro="" textlink="">
          <xdr:nvSpPr>
            <xdr:cNvPr id="604320" name="Drop Down 160" hidden="1">
              <a:extLst>
                <a:ext uri="{63B3BB69-23CF-44E3-9099-C40C66FF867C}">
                  <a14:compatExt spid="_x0000_s604320"/>
                </a:ext>
                <a:ext uri="{FF2B5EF4-FFF2-40B4-BE49-F238E27FC236}">
                  <a16:creationId xmlns:a16="http://schemas.microsoft.com/office/drawing/2014/main" id="{00000000-0008-0000-1C00-0000A0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11</xdr:col>
          <xdr:colOff>219075</xdr:colOff>
          <xdr:row>10</xdr:row>
          <xdr:rowOff>0</xdr:rowOff>
        </xdr:to>
        <xdr:sp macro="" textlink="">
          <xdr:nvSpPr>
            <xdr:cNvPr id="604321" name="Drop Down 161" hidden="1">
              <a:extLst>
                <a:ext uri="{63B3BB69-23CF-44E3-9099-C40C66FF867C}">
                  <a14:compatExt spid="_x0000_s604321"/>
                </a:ext>
                <a:ext uri="{FF2B5EF4-FFF2-40B4-BE49-F238E27FC236}">
                  <a16:creationId xmlns:a16="http://schemas.microsoft.com/office/drawing/2014/main" id="{00000000-0008-0000-1C00-0000A1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11</xdr:col>
          <xdr:colOff>219075</xdr:colOff>
          <xdr:row>11</xdr:row>
          <xdr:rowOff>0</xdr:rowOff>
        </xdr:to>
        <xdr:sp macro="" textlink="">
          <xdr:nvSpPr>
            <xdr:cNvPr id="604322" name="Drop Down 162" hidden="1">
              <a:extLst>
                <a:ext uri="{63B3BB69-23CF-44E3-9099-C40C66FF867C}">
                  <a14:compatExt spid="_x0000_s604322"/>
                </a:ext>
                <a:ext uri="{FF2B5EF4-FFF2-40B4-BE49-F238E27FC236}">
                  <a16:creationId xmlns:a16="http://schemas.microsoft.com/office/drawing/2014/main" id="{00000000-0008-0000-1C00-0000A2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11</xdr:col>
          <xdr:colOff>219075</xdr:colOff>
          <xdr:row>12</xdr:row>
          <xdr:rowOff>0</xdr:rowOff>
        </xdr:to>
        <xdr:sp macro="" textlink="">
          <xdr:nvSpPr>
            <xdr:cNvPr id="604323" name="Drop Down 163" hidden="1">
              <a:extLst>
                <a:ext uri="{63B3BB69-23CF-44E3-9099-C40C66FF867C}">
                  <a14:compatExt spid="_x0000_s604323"/>
                </a:ext>
                <a:ext uri="{FF2B5EF4-FFF2-40B4-BE49-F238E27FC236}">
                  <a16:creationId xmlns:a16="http://schemas.microsoft.com/office/drawing/2014/main" id="{00000000-0008-0000-1C00-0000A3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11</xdr:col>
          <xdr:colOff>219075</xdr:colOff>
          <xdr:row>13</xdr:row>
          <xdr:rowOff>0</xdr:rowOff>
        </xdr:to>
        <xdr:sp macro="" textlink="">
          <xdr:nvSpPr>
            <xdr:cNvPr id="604325" name="Drop Down 165" hidden="1">
              <a:extLst>
                <a:ext uri="{63B3BB69-23CF-44E3-9099-C40C66FF867C}">
                  <a14:compatExt spid="_x0000_s604325"/>
                </a:ext>
                <a:ext uri="{FF2B5EF4-FFF2-40B4-BE49-F238E27FC236}">
                  <a16:creationId xmlns:a16="http://schemas.microsoft.com/office/drawing/2014/main" id="{00000000-0008-0000-1C00-0000A5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11</xdr:col>
          <xdr:colOff>219075</xdr:colOff>
          <xdr:row>14</xdr:row>
          <xdr:rowOff>0</xdr:rowOff>
        </xdr:to>
        <xdr:sp macro="" textlink="">
          <xdr:nvSpPr>
            <xdr:cNvPr id="604326" name="Drop Down 166" hidden="1">
              <a:extLst>
                <a:ext uri="{63B3BB69-23CF-44E3-9099-C40C66FF867C}">
                  <a14:compatExt spid="_x0000_s604326"/>
                </a:ext>
                <a:ext uri="{FF2B5EF4-FFF2-40B4-BE49-F238E27FC236}">
                  <a16:creationId xmlns:a16="http://schemas.microsoft.com/office/drawing/2014/main" id="{00000000-0008-0000-1C00-0000A6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11</xdr:col>
          <xdr:colOff>219075</xdr:colOff>
          <xdr:row>15</xdr:row>
          <xdr:rowOff>0</xdr:rowOff>
        </xdr:to>
        <xdr:sp macro="" textlink="">
          <xdr:nvSpPr>
            <xdr:cNvPr id="604327" name="Drop Down 167" hidden="1">
              <a:extLst>
                <a:ext uri="{63B3BB69-23CF-44E3-9099-C40C66FF867C}">
                  <a14:compatExt spid="_x0000_s604327"/>
                </a:ext>
                <a:ext uri="{FF2B5EF4-FFF2-40B4-BE49-F238E27FC236}">
                  <a16:creationId xmlns:a16="http://schemas.microsoft.com/office/drawing/2014/main" id="{00000000-0008-0000-1C00-0000A7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11</xdr:col>
          <xdr:colOff>219075</xdr:colOff>
          <xdr:row>16</xdr:row>
          <xdr:rowOff>0</xdr:rowOff>
        </xdr:to>
        <xdr:sp macro="" textlink="">
          <xdr:nvSpPr>
            <xdr:cNvPr id="604329" name="Drop Down 169" hidden="1">
              <a:extLst>
                <a:ext uri="{63B3BB69-23CF-44E3-9099-C40C66FF867C}">
                  <a14:compatExt spid="_x0000_s604329"/>
                </a:ext>
                <a:ext uri="{FF2B5EF4-FFF2-40B4-BE49-F238E27FC236}">
                  <a16:creationId xmlns:a16="http://schemas.microsoft.com/office/drawing/2014/main" id="{00000000-0008-0000-1C00-0000A9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11</xdr:col>
          <xdr:colOff>219075</xdr:colOff>
          <xdr:row>17</xdr:row>
          <xdr:rowOff>0</xdr:rowOff>
        </xdr:to>
        <xdr:sp macro="" textlink="">
          <xdr:nvSpPr>
            <xdr:cNvPr id="604330" name="Drop Down 170" hidden="1">
              <a:extLst>
                <a:ext uri="{63B3BB69-23CF-44E3-9099-C40C66FF867C}">
                  <a14:compatExt spid="_x0000_s604330"/>
                </a:ext>
                <a:ext uri="{FF2B5EF4-FFF2-40B4-BE49-F238E27FC236}">
                  <a16:creationId xmlns:a16="http://schemas.microsoft.com/office/drawing/2014/main" id="{00000000-0008-0000-1C00-0000AA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11</xdr:col>
          <xdr:colOff>219075</xdr:colOff>
          <xdr:row>18</xdr:row>
          <xdr:rowOff>0</xdr:rowOff>
        </xdr:to>
        <xdr:sp macro="" textlink="">
          <xdr:nvSpPr>
            <xdr:cNvPr id="604332" name="Drop Down 172" hidden="1">
              <a:extLst>
                <a:ext uri="{63B3BB69-23CF-44E3-9099-C40C66FF867C}">
                  <a14:compatExt spid="_x0000_s604332"/>
                </a:ext>
                <a:ext uri="{FF2B5EF4-FFF2-40B4-BE49-F238E27FC236}">
                  <a16:creationId xmlns:a16="http://schemas.microsoft.com/office/drawing/2014/main" id="{00000000-0008-0000-1C00-0000AC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11</xdr:col>
          <xdr:colOff>219075</xdr:colOff>
          <xdr:row>19</xdr:row>
          <xdr:rowOff>0</xdr:rowOff>
        </xdr:to>
        <xdr:sp macro="" textlink="">
          <xdr:nvSpPr>
            <xdr:cNvPr id="604333" name="Drop Down 173" hidden="1">
              <a:extLst>
                <a:ext uri="{63B3BB69-23CF-44E3-9099-C40C66FF867C}">
                  <a14:compatExt spid="_x0000_s604333"/>
                </a:ext>
                <a:ext uri="{FF2B5EF4-FFF2-40B4-BE49-F238E27FC236}">
                  <a16:creationId xmlns:a16="http://schemas.microsoft.com/office/drawing/2014/main" id="{00000000-0008-0000-1C00-0000AD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11</xdr:col>
          <xdr:colOff>219075</xdr:colOff>
          <xdr:row>20</xdr:row>
          <xdr:rowOff>0</xdr:rowOff>
        </xdr:to>
        <xdr:sp macro="" textlink="">
          <xdr:nvSpPr>
            <xdr:cNvPr id="604334" name="Drop Down 174" hidden="1">
              <a:extLst>
                <a:ext uri="{63B3BB69-23CF-44E3-9099-C40C66FF867C}">
                  <a14:compatExt spid="_x0000_s604334"/>
                </a:ext>
                <a:ext uri="{FF2B5EF4-FFF2-40B4-BE49-F238E27FC236}">
                  <a16:creationId xmlns:a16="http://schemas.microsoft.com/office/drawing/2014/main" id="{00000000-0008-0000-1C00-0000AE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11</xdr:col>
          <xdr:colOff>219075</xdr:colOff>
          <xdr:row>21</xdr:row>
          <xdr:rowOff>0</xdr:rowOff>
        </xdr:to>
        <xdr:sp macro="" textlink="">
          <xdr:nvSpPr>
            <xdr:cNvPr id="604336" name="Drop Down 176" hidden="1">
              <a:extLst>
                <a:ext uri="{63B3BB69-23CF-44E3-9099-C40C66FF867C}">
                  <a14:compatExt spid="_x0000_s604336"/>
                </a:ext>
                <a:ext uri="{FF2B5EF4-FFF2-40B4-BE49-F238E27FC236}">
                  <a16:creationId xmlns:a16="http://schemas.microsoft.com/office/drawing/2014/main" id="{00000000-0008-0000-1C00-0000B0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11</xdr:col>
          <xdr:colOff>219075</xdr:colOff>
          <xdr:row>22</xdr:row>
          <xdr:rowOff>0</xdr:rowOff>
        </xdr:to>
        <xdr:sp macro="" textlink="">
          <xdr:nvSpPr>
            <xdr:cNvPr id="604337" name="Drop Down 177" hidden="1">
              <a:extLst>
                <a:ext uri="{63B3BB69-23CF-44E3-9099-C40C66FF867C}">
                  <a14:compatExt spid="_x0000_s604337"/>
                </a:ext>
                <a:ext uri="{FF2B5EF4-FFF2-40B4-BE49-F238E27FC236}">
                  <a16:creationId xmlns:a16="http://schemas.microsoft.com/office/drawing/2014/main" id="{00000000-0008-0000-1C00-0000B1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11</xdr:col>
          <xdr:colOff>219075</xdr:colOff>
          <xdr:row>23</xdr:row>
          <xdr:rowOff>0</xdr:rowOff>
        </xdr:to>
        <xdr:sp macro="" textlink="">
          <xdr:nvSpPr>
            <xdr:cNvPr id="604339" name="Drop Down 179" hidden="1">
              <a:extLst>
                <a:ext uri="{63B3BB69-23CF-44E3-9099-C40C66FF867C}">
                  <a14:compatExt spid="_x0000_s604339"/>
                </a:ext>
                <a:ext uri="{FF2B5EF4-FFF2-40B4-BE49-F238E27FC236}">
                  <a16:creationId xmlns:a16="http://schemas.microsoft.com/office/drawing/2014/main" id="{00000000-0008-0000-1C00-0000B3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11</xdr:col>
          <xdr:colOff>219075</xdr:colOff>
          <xdr:row>24</xdr:row>
          <xdr:rowOff>0</xdr:rowOff>
        </xdr:to>
        <xdr:sp macro="" textlink="">
          <xdr:nvSpPr>
            <xdr:cNvPr id="604340" name="Drop Down 180" hidden="1">
              <a:extLst>
                <a:ext uri="{63B3BB69-23CF-44E3-9099-C40C66FF867C}">
                  <a14:compatExt spid="_x0000_s604340"/>
                </a:ext>
                <a:ext uri="{FF2B5EF4-FFF2-40B4-BE49-F238E27FC236}">
                  <a16:creationId xmlns:a16="http://schemas.microsoft.com/office/drawing/2014/main" id="{00000000-0008-0000-1C00-0000B4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11</xdr:col>
          <xdr:colOff>219075</xdr:colOff>
          <xdr:row>24</xdr:row>
          <xdr:rowOff>333375</xdr:rowOff>
        </xdr:to>
        <xdr:sp macro="" textlink="">
          <xdr:nvSpPr>
            <xdr:cNvPr id="604341" name="Drop Down 181" hidden="1">
              <a:extLst>
                <a:ext uri="{63B3BB69-23CF-44E3-9099-C40C66FF867C}">
                  <a14:compatExt spid="_x0000_s604341"/>
                </a:ext>
                <a:ext uri="{FF2B5EF4-FFF2-40B4-BE49-F238E27FC236}">
                  <a16:creationId xmlns:a16="http://schemas.microsoft.com/office/drawing/2014/main" id="{00000000-0008-0000-1C00-0000B53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752475</xdr:colOff>
          <xdr:row>0</xdr:row>
          <xdr:rowOff>104775</xdr:rowOff>
        </xdr:from>
        <xdr:to>
          <xdr:col>12</xdr:col>
          <xdr:colOff>733425</xdr:colOff>
          <xdr:row>0</xdr:row>
          <xdr:rowOff>523875</xdr:rowOff>
        </xdr:to>
        <xdr:sp macro="" textlink="">
          <xdr:nvSpPr>
            <xdr:cNvPr id="604342" name="Button 182" hidden="1">
              <a:extLst>
                <a:ext uri="{63B3BB69-23CF-44E3-9099-C40C66FF867C}">
                  <a14:compatExt spid="_x0000_s604342"/>
                </a:ext>
                <a:ext uri="{FF2B5EF4-FFF2-40B4-BE49-F238E27FC236}">
                  <a16:creationId xmlns:a16="http://schemas.microsoft.com/office/drawing/2014/main" id="{00000000-0008-0000-1C00-0000B63809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2000" b="0" i="0" u="none" strike="noStrike" baseline="0">
                  <a:solidFill>
                    <a:srgbClr val="000000"/>
                  </a:solidFill>
                  <a:latin typeface="Arial"/>
                  <a:cs typeface="Arial"/>
                </a:rPr>
                <a:t>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11</xdr:col>
          <xdr:colOff>200025</xdr:colOff>
          <xdr:row>8</xdr:row>
          <xdr:rowOff>0</xdr:rowOff>
        </xdr:to>
        <xdr:sp macro="" textlink="">
          <xdr:nvSpPr>
            <xdr:cNvPr id="604343" name="Group Box 183" hidden="1">
              <a:extLst>
                <a:ext uri="{63B3BB69-23CF-44E3-9099-C40C66FF867C}">
                  <a14:compatExt spid="_x0000_s604343"/>
                </a:ext>
                <a:ext uri="{FF2B5EF4-FFF2-40B4-BE49-F238E27FC236}">
                  <a16:creationId xmlns:a16="http://schemas.microsoft.com/office/drawing/2014/main" id="{00000000-0008-0000-1C00-0000B7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11</xdr:col>
          <xdr:colOff>200025</xdr:colOff>
          <xdr:row>7</xdr:row>
          <xdr:rowOff>0</xdr:rowOff>
        </xdr:to>
        <xdr:sp macro="" textlink="">
          <xdr:nvSpPr>
            <xdr:cNvPr id="604344" name="Group Box 184" hidden="1">
              <a:extLst>
                <a:ext uri="{63B3BB69-23CF-44E3-9099-C40C66FF867C}">
                  <a14:compatExt spid="_x0000_s604344"/>
                </a:ext>
                <a:ext uri="{FF2B5EF4-FFF2-40B4-BE49-F238E27FC236}">
                  <a16:creationId xmlns:a16="http://schemas.microsoft.com/office/drawing/2014/main" id="{00000000-0008-0000-1C00-0000B83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1019175</xdr:colOff>
          <xdr:row>0</xdr:row>
          <xdr:rowOff>104775</xdr:rowOff>
        </xdr:from>
        <xdr:to>
          <xdr:col>8</xdr:col>
          <xdr:colOff>476250</xdr:colOff>
          <xdr:row>0</xdr:row>
          <xdr:rowOff>523875</xdr:rowOff>
        </xdr:to>
        <xdr:sp macro="" textlink="">
          <xdr:nvSpPr>
            <xdr:cNvPr id="604345" name="Button 185" hidden="1">
              <a:extLst>
                <a:ext uri="{63B3BB69-23CF-44E3-9099-C40C66FF867C}">
                  <a14:compatExt spid="_x0000_s604345"/>
                </a:ext>
                <a:ext uri="{FF2B5EF4-FFF2-40B4-BE49-F238E27FC236}">
                  <a16:creationId xmlns:a16="http://schemas.microsoft.com/office/drawing/2014/main" id="{00000000-0008-0000-1C00-0000B93809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CH" sz="1600" b="0" i="0" u="none" strike="noStrike" baseline="0">
                  <a:solidFill>
                    <a:srgbClr val="000000"/>
                  </a:solidFill>
                  <a:latin typeface="Arial"/>
                  <a:cs typeface="Arial"/>
                </a:rPr>
                <a:t>Sauvegarder vos réponses</a:t>
              </a:r>
            </a:p>
          </xdr:txBody>
        </xdr:sp>
        <xdr:clientData fPrintsWithSheet="0"/>
      </xdr:twoCellAnchor>
    </mc:Choice>
    <mc:Fallback/>
  </mc:AlternateContent>
</xdr:wsDr>
</file>

<file path=xl/drawings/drawing29.xml><?xml version="1.0" encoding="utf-8"?>
<xdr:wsDr xmlns:xdr="http://schemas.openxmlformats.org/drawingml/2006/spreadsheetDrawing" xmlns:a="http://schemas.openxmlformats.org/drawingml/2006/main">
  <xdr:absoluteAnchor>
    <xdr:pos x="0" y="0"/>
    <xdr:ext cx="9896474" cy="6162674"/>
    <xdr:graphicFrame macro="">
      <xdr:nvGraphicFramePr>
        <xdr:cNvPr id="2" name="Graphique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11</xdr:row>
          <xdr:rowOff>123825</xdr:rowOff>
        </xdr:from>
        <xdr:to>
          <xdr:col>4</xdr:col>
          <xdr:colOff>914400</xdr:colOff>
          <xdr:row>11</xdr:row>
          <xdr:rowOff>390525</xdr:rowOff>
        </xdr:to>
        <xdr:sp macro="" textlink="">
          <xdr:nvSpPr>
            <xdr:cNvPr id="528388" name="Drop Down 4" hidden="1">
              <a:extLst>
                <a:ext uri="{63B3BB69-23CF-44E3-9099-C40C66FF867C}">
                  <a14:compatExt spid="_x0000_s528388"/>
                </a:ext>
                <a:ext uri="{FF2B5EF4-FFF2-40B4-BE49-F238E27FC236}">
                  <a16:creationId xmlns:a16="http://schemas.microsoft.com/office/drawing/2014/main" id="{00000000-0008-0000-0200-000004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123825</xdr:rowOff>
        </xdr:from>
        <xdr:to>
          <xdr:col>4</xdr:col>
          <xdr:colOff>914400</xdr:colOff>
          <xdr:row>12</xdr:row>
          <xdr:rowOff>390525</xdr:rowOff>
        </xdr:to>
        <xdr:sp macro="" textlink="">
          <xdr:nvSpPr>
            <xdr:cNvPr id="528389" name="Drop Down 5" hidden="1">
              <a:extLst>
                <a:ext uri="{63B3BB69-23CF-44E3-9099-C40C66FF867C}">
                  <a14:compatExt spid="_x0000_s528389"/>
                </a:ext>
                <a:ext uri="{FF2B5EF4-FFF2-40B4-BE49-F238E27FC236}">
                  <a16:creationId xmlns:a16="http://schemas.microsoft.com/office/drawing/2014/main" id="{00000000-0008-0000-0200-000005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123825</xdr:rowOff>
        </xdr:from>
        <xdr:to>
          <xdr:col>4</xdr:col>
          <xdr:colOff>914400</xdr:colOff>
          <xdr:row>13</xdr:row>
          <xdr:rowOff>390525</xdr:rowOff>
        </xdr:to>
        <xdr:sp macro="" textlink="">
          <xdr:nvSpPr>
            <xdr:cNvPr id="528390" name="Drop Down 6" hidden="1">
              <a:extLst>
                <a:ext uri="{63B3BB69-23CF-44E3-9099-C40C66FF867C}">
                  <a14:compatExt spid="_x0000_s528390"/>
                </a:ext>
                <a:ext uri="{FF2B5EF4-FFF2-40B4-BE49-F238E27FC236}">
                  <a16:creationId xmlns:a16="http://schemas.microsoft.com/office/drawing/2014/main" id="{00000000-0008-0000-0200-000006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123825</xdr:rowOff>
        </xdr:from>
        <xdr:to>
          <xdr:col>4</xdr:col>
          <xdr:colOff>914400</xdr:colOff>
          <xdr:row>14</xdr:row>
          <xdr:rowOff>390525</xdr:rowOff>
        </xdr:to>
        <xdr:sp macro="" textlink="">
          <xdr:nvSpPr>
            <xdr:cNvPr id="528391" name="Drop Down 7" hidden="1">
              <a:extLst>
                <a:ext uri="{63B3BB69-23CF-44E3-9099-C40C66FF867C}">
                  <a14:compatExt spid="_x0000_s528391"/>
                </a:ext>
                <a:ext uri="{FF2B5EF4-FFF2-40B4-BE49-F238E27FC236}">
                  <a16:creationId xmlns:a16="http://schemas.microsoft.com/office/drawing/2014/main" id="{00000000-0008-0000-0200-000007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15</xdr:row>
          <xdr:rowOff>123825</xdr:rowOff>
        </xdr:from>
        <xdr:to>
          <xdr:col>4</xdr:col>
          <xdr:colOff>914400</xdr:colOff>
          <xdr:row>15</xdr:row>
          <xdr:rowOff>390525</xdr:rowOff>
        </xdr:to>
        <xdr:sp macro="" textlink="">
          <xdr:nvSpPr>
            <xdr:cNvPr id="528392" name="Drop Down 8" hidden="1">
              <a:extLst>
                <a:ext uri="{63B3BB69-23CF-44E3-9099-C40C66FF867C}">
                  <a14:compatExt spid="_x0000_s528392"/>
                </a:ext>
                <a:ext uri="{FF2B5EF4-FFF2-40B4-BE49-F238E27FC236}">
                  <a16:creationId xmlns:a16="http://schemas.microsoft.com/office/drawing/2014/main" id="{00000000-0008-0000-0200-000008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16</xdr:row>
          <xdr:rowOff>123825</xdr:rowOff>
        </xdr:from>
        <xdr:to>
          <xdr:col>4</xdr:col>
          <xdr:colOff>914400</xdr:colOff>
          <xdr:row>16</xdr:row>
          <xdr:rowOff>390525</xdr:rowOff>
        </xdr:to>
        <xdr:sp macro="" textlink="">
          <xdr:nvSpPr>
            <xdr:cNvPr id="528393" name="Drop Down 9" hidden="1">
              <a:extLst>
                <a:ext uri="{63B3BB69-23CF-44E3-9099-C40C66FF867C}">
                  <a14:compatExt spid="_x0000_s528393"/>
                </a:ext>
                <a:ext uri="{FF2B5EF4-FFF2-40B4-BE49-F238E27FC236}">
                  <a16:creationId xmlns:a16="http://schemas.microsoft.com/office/drawing/2014/main" id="{00000000-0008-0000-0200-000009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18</xdr:row>
          <xdr:rowOff>123825</xdr:rowOff>
        </xdr:from>
        <xdr:to>
          <xdr:col>4</xdr:col>
          <xdr:colOff>914400</xdr:colOff>
          <xdr:row>18</xdr:row>
          <xdr:rowOff>390525</xdr:rowOff>
        </xdr:to>
        <xdr:sp macro="" textlink="">
          <xdr:nvSpPr>
            <xdr:cNvPr id="528394" name="Drop Down 10" hidden="1">
              <a:extLst>
                <a:ext uri="{63B3BB69-23CF-44E3-9099-C40C66FF867C}">
                  <a14:compatExt spid="_x0000_s528394"/>
                </a:ext>
                <a:ext uri="{FF2B5EF4-FFF2-40B4-BE49-F238E27FC236}">
                  <a16:creationId xmlns:a16="http://schemas.microsoft.com/office/drawing/2014/main" id="{00000000-0008-0000-0200-00000A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123825</xdr:rowOff>
        </xdr:from>
        <xdr:to>
          <xdr:col>4</xdr:col>
          <xdr:colOff>914400</xdr:colOff>
          <xdr:row>19</xdr:row>
          <xdr:rowOff>390525</xdr:rowOff>
        </xdr:to>
        <xdr:sp macro="" textlink="">
          <xdr:nvSpPr>
            <xdr:cNvPr id="528395" name="Drop Down 11" hidden="1">
              <a:extLst>
                <a:ext uri="{63B3BB69-23CF-44E3-9099-C40C66FF867C}">
                  <a14:compatExt spid="_x0000_s528395"/>
                </a:ext>
                <a:ext uri="{FF2B5EF4-FFF2-40B4-BE49-F238E27FC236}">
                  <a16:creationId xmlns:a16="http://schemas.microsoft.com/office/drawing/2014/main" id="{00000000-0008-0000-0200-00000B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20</xdr:row>
          <xdr:rowOff>123825</xdr:rowOff>
        </xdr:from>
        <xdr:to>
          <xdr:col>4</xdr:col>
          <xdr:colOff>914400</xdr:colOff>
          <xdr:row>20</xdr:row>
          <xdr:rowOff>390525</xdr:rowOff>
        </xdr:to>
        <xdr:sp macro="" textlink="">
          <xdr:nvSpPr>
            <xdr:cNvPr id="528396" name="Drop Down 12" hidden="1">
              <a:extLst>
                <a:ext uri="{63B3BB69-23CF-44E3-9099-C40C66FF867C}">
                  <a14:compatExt spid="_x0000_s528396"/>
                </a:ext>
                <a:ext uri="{FF2B5EF4-FFF2-40B4-BE49-F238E27FC236}">
                  <a16:creationId xmlns:a16="http://schemas.microsoft.com/office/drawing/2014/main" id="{00000000-0008-0000-0200-00000C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21</xdr:row>
          <xdr:rowOff>123825</xdr:rowOff>
        </xdr:from>
        <xdr:to>
          <xdr:col>4</xdr:col>
          <xdr:colOff>914400</xdr:colOff>
          <xdr:row>21</xdr:row>
          <xdr:rowOff>390525</xdr:rowOff>
        </xdr:to>
        <xdr:sp macro="" textlink="">
          <xdr:nvSpPr>
            <xdr:cNvPr id="528397" name="Drop Down 13" hidden="1">
              <a:extLst>
                <a:ext uri="{63B3BB69-23CF-44E3-9099-C40C66FF867C}">
                  <a14:compatExt spid="_x0000_s528397"/>
                </a:ext>
                <a:ext uri="{FF2B5EF4-FFF2-40B4-BE49-F238E27FC236}">
                  <a16:creationId xmlns:a16="http://schemas.microsoft.com/office/drawing/2014/main" id="{00000000-0008-0000-0200-00000D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22</xdr:row>
          <xdr:rowOff>123825</xdr:rowOff>
        </xdr:from>
        <xdr:to>
          <xdr:col>4</xdr:col>
          <xdr:colOff>914400</xdr:colOff>
          <xdr:row>22</xdr:row>
          <xdr:rowOff>390525</xdr:rowOff>
        </xdr:to>
        <xdr:sp macro="" textlink="">
          <xdr:nvSpPr>
            <xdr:cNvPr id="528398" name="Drop Down 14" hidden="1">
              <a:extLst>
                <a:ext uri="{63B3BB69-23CF-44E3-9099-C40C66FF867C}">
                  <a14:compatExt spid="_x0000_s528398"/>
                </a:ext>
                <a:ext uri="{FF2B5EF4-FFF2-40B4-BE49-F238E27FC236}">
                  <a16:creationId xmlns:a16="http://schemas.microsoft.com/office/drawing/2014/main" id="{00000000-0008-0000-0200-00000E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23</xdr:row>
          <xdr:rowOff>123825</xdr:rowOff>
        </xdr:from>
        <xdr:to>
          <xdr:col>4</xdr:col>
          <xdr:colOff>914400</xdr:colOff>
          <xdr:row>23</xdr:row>
          <xdr:rowOff>390525</xdr:rowOff>
        </xdr:to>
        <xdr:sp macro="" textlink="">
          <xdr:nvSpPr>
            <xdr:cNvPr id="528399" name="Drop Down 15" hidden="1">
              <a:extLst>
                <a:ext uri="{63B3BB69-23CF-44E3-9099-C40C66FF867C}">
                  <a14:compatExt spid="_x0000_s528399"/>
                </a:ext>
                <a:ext uri="{FF2B5EF4-FFF2-40B4-BE49-F238E27FC236}">
                  <a16:creationId xmlns:a16="http://schemas.microsoft.com/office/drawing/2014/main" id="{00000000-0008-0000-0200-00000F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24</xdr:row>
          <xdr:rowOff>123825</xdr:rowOff>
        </xdr:from>
        <xdr:to>
          <xdr:col>4</xdr:col>
          <xdr:colOff>914400</xdr:colOff>
          <xdr:row>24</xdr:row>
          <xdr:rowOff>390525</xdr:rowOff>
        </xdr:to>
        <xdr:sp macro="" textlink="">
          <xdr:nvSpPr>
            <xdr:cNvPr id="528400" name="Drop Down 16" hidden="1">
              <a:extLst>
                <a:ext uri="{63B3BB69-23CF-44E3-9099-C40C66FF867C}">
                  <a14:compatExt spid="_x0000_s528400"/>
                </a:ext>
                <a:ext uri="{FF2B5EF4-FFF2-40B4-BE49-F238E27FC236}">
                  <a16:creationId xmlns:a16="http://schemas.microsoft.com/office/drawing/2014/main" id="{00000000-0008-0000-0200-000010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25</xdr:row>
          <xdr:rowOff>123825</xdr:rowOff>
        </xdr:from>
        <xdr:to>
          <xdr:col>4</xdr:col>
          <xdr:colOff>914400</xdr:colOff>
          <xdr:row>25</xdr:row>
          <xdr:rowOff>390525</xdr:rowOff>
        </xdr:to>
        <xdr:sp macro="" textlink="">
          <xdr:nvSpPr>
            <xdr:cNvPr id="528401" name="Drop Down 17" hidden="1">
              <a:extLst>
                <a:ext uri="{63B3BB69-23CF-44E3-9099-C40C66FF867C}">
                  <a14:compatExt spid="_x0000_s528401"/>
                </a:ext>
                <a:ext uri="{FF2B5EF4-FFF2-40B4-BE49-F238E27FC236}">
                  <a16:creationId xmlns:a16="http://schemas.microsoft.com/office/drawing/2014/main" id="{00000000-0008-0000-0200-000011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26</xdr:row>
          <xdr:rowOff>123825</xdr:rowOff>
        </xdr:from>
        <xdr:to>
          <xdr:col>4</xdr:col>
          <xdr:colOff>914400</xdr:colOff>
          <xdr:row>26</xdr:row>
          <xdr:rowOff>390525</xdr:rowOff>
        </xdr:to>
        <xdr:sp macro="" textlink="">
          <xdr:nvSpPr>
            <xdr:cNvPr id="528402" name="Drop Down 18" hidden="1">
              <a:extLst>
                <a:ext uri="{63B3BB69-23CF-44E3-9099-C40C66FF867C}">
                  <a14:compatExt spid="_x0000_s528402"/>
                </a:ext>
                <a:ext uri="{FF2B5EF4-FFF2-40B4-BE49-F238E27FC236}">
                  <a16:creationId xmlns:a16="http://schemas.microsoft.com/office/drawing/2014/main" id="{00000000-0008-0000-0200-000012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27</xdr:row>
          <xdr:rowOff>123825</xdr:rowOff>
        </xdr:from>
        <xdr:to>
          <xdr:col>4</xdr:col>
          <xdr:colOff>914400</xdr:colOff>
          <xdr:row>27</xdr:row>
          <xdr:rowOff>390525</xdr:rowOff>
        </xdr:to>
        <xdr:sp macro="" textlink="">
          <xdr:nvSpPr>
            <xdr:cNvPr id="528403" name="Drop Down 19" hidden="1">
              <a:extLst>
                <a:ext uri="{63B3BB69-23CF-44E3-9099-C40C66FF867C}">
                  <a14:compatExt spid="_x0000_s528403"/>
                </a:ext>
                <a:ext uri="{FF2B5EF4-FFF2-40B4-BE49-F238E27FC236}">
                  <a16:creationId xmlns:a16="http://schemas.microsoft.com/office/drawing/2014/main" id="{00000000-0008-0000-0200-000013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28</xdr:row>
          <xdr:rowOff>123825</xdr:rowOff>
        </xdr:from>
        <xdr:to>
          <xdr:col>4</xdr:col>
          <xdr:colOff>914400</xdr:colOff>
          <xdr:row>28</xdr:row>
          <xdr:rowOff>390525</xdr:rowOff>
        </xdr:to>
        <xdr:sp macro="" textlink="">
          <xdr:nvSpPr>
            <xdr:cNvPr id="528404" name="Drop Down 20" hidden="1">
              <a:extLst>
                <a:ext uri="{63B3BB69-23CF-44E3-9099-C40C66FF867C}">
                  <a14:compatExt spid="_x0000_s528404"/>
                </a:ext>
                <a:ext uri="{FF2B5EF4-FFF2-40B4-BE49-F238E27FC236}">
                  <a16:creationId xmlns:a16="http://schemas.microsoft.com/office/drawing/2014/main" id="{00000000-0008-0000-0200-000014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29</xdr:row>
          <xdr:rowOff>123825</xdr:rowOff>
        </xdr:from>
        <xdr:to>
          <xdr:col>4</xdr:col>
          <xdr:colOff>914400</xdr:colOff>
          <xdr:row>29</xdr:row>
          <xdr:rowOff>390525</xdr:rowOff>
        </xdr:to>
        <xdr:sp macro="" textlink="">
          <xdr:nvSpPr>
            <xdr:cNvPr id="528405" name="Drop Down 21" hidden="1">
              <a:extLst>
                <a:ext uri="{63B3BB69-23CF-44E3-9099-C40C66FF867C}">
                  <a14:compatExt spid="_x0000_s528405"/>
                </a:ext>
                <a:ext uri="{FF2B5EF4-FFF2-40B4-BE49-F238E27FC236}">
                  <a16:creationId xmlns:a16="http://schemas.microsoft.com/office/drawing/2014/main" id="{00000000-0008-0000-0200-000015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30</xdr:row>
          <xdr:rowOff>123825</xdr:rowOff>
        </xdr:from>
        <xdr:to>
          <xdr:col>4</xdr:col>
          <xdr:colOff>914400</xdr:colOff>
          <xdr:row>30</xdr:row>
          <xdr:rowOff>390525</xdr:rowOff>
        </xdr:to>
        <xdr:sp macro="" textlink="">
          <xdr:nvSpPr>
            <xdr:cNvPr id="528406" name="Drop Down 22" hidden="1">
              <a:extLst>
                <a:ext uri="{63B3BB69-23CF-44E3-9099-C40C66FF867C}">
                  <a14:compatExt spid="_x0000_s528406"/>
                </a:ext>
                <a:ext uri="{FF2B5EF4-FFF2-40B4-BE49-F238E27FC236}">
                  <a16:creationId xmlns:a16="http://schemas.microsoft.com/office/drawing/2014/main" id="{00000000-0008-0000-0200-000016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31</xdr:row>
          <xdr:rowOff>123825</xdr:rowOff>
        </xdr:from>
        <xdr:to>
          <xdr:col>4</xdr:col>
          <xdr:colOff>914400</xdr:colOff>
          <xdr:row>31</xdr:row>
          <xdr:rowOff>390525</xdr:rowOff>
        </xdr:to>
        <xdr:sp macro="" textlink="">
          <xdr:nvSpPr>
            <xdr:cNvPr id="528407" name="Drop Down 23" hidden="1">
              <a:extLst>
                <a:ext uri="{63B3BB69-23CF-44E3-9099-C40C66FF867C}">
                  <a14:compatExt spid="_x0000_s528407"/>
                </a:ext>
                <a:ext uri="{FF2B5EF4-FFF2-40B4-BE49-F238E27FC236}">
                  <a16:creationId xmlns:a16="http://schemas.microsoft.com/office/drawing/2014/main" id="{00000000-0008-0000-0200-000017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123825</xdr:rowOff>
        </xdr:from>
        <xdr:to>
          <xdr:col>4</xdr:col>
          <xdr:colOff>914400</xdr:colOff>
          <xdr:row>32</xdr:row>
          <xdr:rowOff>390525</xdr:rowOff>
        </xdr:to>
        <xdr:sp macro="" textlink="">
          <xdr:nvSpPr>
            <xdr:cNvPr id="528408" name="Drop Down 24" hidden="1">
              <a:extLst>
                <a:ext uri="{63B3BB69-23CF-44E3-9099-C40C66FF867C}">
                  <a14:compatExt spid="_x0000_s528408"/>
                </a:ext>
                <a:ext uri="{FF2B5EF4-FFF2-40B4-BE49-F238E27FC236}">
                  <a16:creationId xmlns:a16="http://schemas.microsoft.com/office/drawing/2014/main" id="{00000000-0008-0000-0200-000018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33</xdr:row>
          <xdr:rowOff>123825</xdr:rowOff>
        </xdr:from>
        <xdr:to>
          <xdr:col>4</xdr:col>
          <xdr:colOff>914400</xdr:colOff>
          <xdr:row>33</xdr:row>
          <xdr:rowOff>390525</xdr:rowOff>
        </xdr:to>
        <xdr:sp macro="" textlink="">
          <xdr:nvSpPr>
            <xdr:cNvPr id="528409" name="Drop Down 25" hidden="1">
              <a:extLst>
                <a:ext uri="{63B3BB69-23CF-44E3-9099-C40C66FF867C}">
                  <a14:compatExt spid="_x0000_s528409"/>
                </a:ext>
                <a:ext uri="{FF2B5EF4-FFF2-40B4-BE49-F238E27FC236}">
                  <a16:creationId xmlns:a16="http://schemas.microsoft.com/office/drawing/2014/main" id="{00000000-0008-0000-0200-000019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34</xdr:row>
          <xdr:rowOff>123825</xdr:rowOff>
        </xdr:from>
        <xdr:to>
          <xdr:col>2</xdr:col>
          <xdr:colOff>1190625</xdr:colOff>
          <xdr:row>34</xdr:row>
          <xdr:rowOff>390525</xdr:rowOff>
        </xdr:to>
        <xdr:sp macro="" textlink="">
          <xdr:nvSpPr>
            <xdr:cNvPr id="528410" name="Drop Down 26" hidden="1">
              <a:extLst>
                <a:ext uri="{63B3BB69-23CF-44E3-9099-C40C66FF867C}">
                  <a14:compatExt spid="_x0000_s528410"/>
                </a:ext>
                <a:ext uri="{FF2B5EF4-FFF2-40B4-BE49-F238E27FC236}">
                  <a16:creationId xmlns:a16="http://schemas.microsoft.com/office/drawing/2014/main" id="{00000000-0008-0000-0200-00001A10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409575</xdr:colOff>
          <xdr:row>0</xdr:row>
          <xdr:rowOff>76200</xdr:rowOff>
        </xdr:from>
        <xdr:to>
          <xdr:col>2</xdr:col>
          <xdr:colOff>2171700</xdr:colOff>
          <xdr:row>1</xdr:row>
          <xdr:rowOff>200025</xdr:rowOff>
        </xdr:to>
        <xdr:sp macro="" textlink="">
          <xdr:nvSpPr>
            <xdr:cNvPr id="528495" name="Button 111" hidden="1">
              <a:extLst>
                <a:ext uri="{63B3BB69-23CF-44E3-9099-C40C66FF867C}">
                  <a14:compatExt spid="_x0000_s528495"/>
                </a:ext>
                <a:ext uri="{FF2B5EF4-FFF2-40B4-BE49-F238E27FC236}">
                  <a16:creationId xmlns:a16="http://schemas.microsoft.com/office/drawing/2014/main" id="{00000000-0008-0000-0200-00006F1008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8</xdr:row>
          <xdr:rowOff>123825</xdr:rowOff>
        </xdr:from>
        <xdr:to>
          <xdr:col>2</xdr:col>
          <xdr:colOff>1228725</xdr:colOff>
          <xdr:row>8</xdr:row>
          <xdr:rowOff>390525</xdr:rowOff>
        </xdr:to>
        <xdr:sp macro="" textlink="">
          <xdr:nvSpPr>
            <xdr:cNvPr id="528717" name="Drop Down 333" hidden="1">
              <a:extLst>
                <a:ext uri="{63B3BB69-23CF-44E3-9099-C40C66FF867C}">
                  <a14:compatExt spid="_x0000_s528717"/>
                </a:ext>
                <a:ext uri="{FF2B5EF4-FFF2-40B4-BE49-F238E27FC236}">
                  <a16:creationId xmlns:a16="http://schemas.microsoft.com/office/drawing/2014/main" id="{00000000-0008-0000-0200-00004D11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9</xdr:row>
          <xdr:rowOff>123825</xdr:rowOff>
        </xdr:from>
        <xdr:to>
          <xdr:col>2</xdr:col>
          <xdr:colOff>1228725</xdr:colOff>
          <xdr:row>9</xdr:row>
          <xdr:rowOff>390525</xdr:rowOff>
        </xdr:to>
        <xdr:sp macro="" textlink="">
          <xdr:nvSpPr>
            <xdr:cNvPr id="528718" name="Drop Down 334" hidden="1">
              <a:extLst>
                <a:ext uri="{63B3BB69-23CF-44E3-9099-C40C66FF867C}">
                  <a14:compatExt spid="_x0000_s528718"/>
                </a:ext>
                <a:ext uri="{FF2B5EF4-FFF2-40B4-BE49-F238E27FC236}">
                  <a16:creationId xmlns:a16="http://schemas.microsoft.com/office/drawing/2014/main" id="{00000000-0008-0000-0200-00004E11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10</xdr:row>
          <xdr:rowOff>123825</xdr:rowOff>
        </xdr:from>
        <xdr:to>
          <xdr:col>2</xdr:col>
          <xdr:colOff>1228725</xdr:colOff>
          <xdr:row>10</xdr:row>
          <xdr:rowOff>390525</xdr:rowOff>
        </xdr:to>
        <xdr:sp macro="" textlink="">
          <xdr:nvSpPr>
            <xdr:cNvPr id="528719" name="Drop Down 335" hidden="1">
              <a:extLst>
                <a:ext uri="{63B3BB69-23CF-44E3-9099-C40C66FF867C}">
                  <a14:compatExt spid="_x0000_s528719"/>
                </a:ext>
                <a:ext uri="{FF2B5EF4-FFF2-40B4-BE49-F238E27FC236}">
                  <a16:creationId xmlns:a16="http://schemas.microsoft.com/office/drawing/2014/main" id="{00000000-0008-0000-0200-00004F11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2352675</xdr:colOff>
          <xdr:row>38</xdr:row>
          <xdr:rowOff>0</xdr:rowOff>
        </xdr:from>
        <xdr:to>
          <xdr:col>2</xdr:col>
          <xdr:colOff>266700</xdr:colOff>
          <xdr:row>39</xdr:row>
          <xdr:rowOff>238125</xdr:rowOff>
        </xdr:to>
        <xdr:sp macro="" textlink="">
          <xdr:nvSpPr>
            <xdr:cNvPr id="528828" name="Button 444" hidden="1">
              <a:extLst>
                <a:ext uri="{63B3BB69-23CF-44E3-9099-C40C66FF867C}">
                  <a14:compatExt spid="_x0000_s528828"/>
                </a:ext>
                <a:ext uri="{FF2B5EF4-FFF2-40B4-BE49-F238E27FC236}">
                  <a16:creationId xmlns:a16="http://schemas.microsoft.com/office/drawing/2014/main" id="{00000000-0008-0000-0200-0000BC1108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Passer à la suite des questionnaires</a:t>
              </a:r>
            </a:p>
          </xdr:txBody>
        </xdr:sp>
        <xdr:clientData fPrintsWithSheet="0"/>
      </xdr:twoCellAnchor>
    </mc:Choice>
    <mc:Fallback/>
  </mc:AlternateContent>
</xdr:wsDr>
</file>

<file path=xl/drawings/drawing30.xml><?xml version="1.0" encoding="utf-8"?>
<c:userShapes xmlns:c="http://schemas.openxmlformats.org/drawingml/2006/chart">
  <cdr:relSizeAnchor xmlns:cdr="http://schemas.openxmlformats.org/drawingml/2006/chartDrawing">
    <cdr:from>
      <cdr:x>0</cdr:x>
      <cdr:y>0</cdr:y>
    </cdr:from>
    <cdr:to>
      <cdr:x>0.00267</cdr:x>
      <cdr:y>0.00431</cdr:y>
    </cdr:to>
    <cdr:pic>
      <cdr:nvPicPr>
        <cdr:cNvPr id="8" name="chart">
          <a:extLst xmlns:a="http://schemas.openxmlformats.org/drawingml/2006/main">
            <a:ext uri="{FF2B5EF4-FFF2-40B4-BE49-F238E27FC236}">
              <a16:creationId xmlns:a16="http://schemas.microsoft.com/office/drawing/2014/main" id="{82365D8C-692D-4206-95B1-5F36566B36A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0.00267</cdr:x>
      <cdr:y>0.00431</cdr:y>
    </cdr:to>
    <cdr:pic>
      <cdr:nvPicPr>
        <cdr:cNvPr id="9" name="chart">
          <a:extLst xmlns:a="http://schemas.openxmlformats.org/drawingml/2006/main">
            <a:ext uri="{FF2B5EF4-FFF2-40B4-BE49-F238E27FC236}">
              <a16:creationId xmlns:a16="http://schemas.microsoft.com/office/drawing/2014/main" id="{8F7DE10F-A64B-45A8-A78D-9C64B18F996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0.00267</cdr:x>
      <cdr:y>0.00431</cdr:y>
    </cdr:to>
    <cdr:pic>
      <cdr:nvPicPr>
        <cdr:cNvPr id="11" name="chart">
          <a:extLst xmlns:a="http://schemas.openxmlformats.org/drawingml/2006/main">
            <a:ext uri="{FF2B5EF4-FFF2-40B4-BE49-F238E27FC236}">
              <a16:creationId xmlns:a16="http://schemas.microsoft.com/office/drawing/2014/main" id="{895EFCF9-83C2-483C-B288-DC585C1F377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0.02729</cdr:x>
      <cdr:y>0.47196</cdr:y>
    </cdr:from>
    <cdr:to>
      <cdr:x>0.96554</cdr:x>
      <cdr:y>0.4737</cdr:y>
    </cdr:to>
    <cdr:cxnSp macro="">
      <cdr:nvCxnSpPr>
        <cdr:cNvPr id="5" name="Connecteur droit 4">
          <a:extLst xmlns:a="http://schemas.openxmlformats.org/drawingml/2006/main">
            <a:ext uri="{FF2B5EF4-FFF2-40B4-BE49-F238E27FC236}">
              <a16:creationId xmlns:a16="http://schemas.microsoft.com/office/drawing/2014/main" id="{A3311500-612A-4778-9AC1-9C935F6FD4E8}"/>
            </a:ext>
          </a:extLst>
        </cdr:cNvPr>
        <cdr:cNvCxnSpPr/>
      </cdr:nvCxnSpPr>
      <cdr:spPr>
        <a:xfrm xmlns:a="http://schemas.openxmlformats.org/drawingml/2006/main">
          <a:off x="253999" y="2868084"/>
          <a:ext cx="8731251" cy="10583"/>
        </a:xfrm>
        <a:prstGeom xmlns:a="http://schemas.openxmlformats.org/drawingml/2006/main" prst="line">
          <a:avLst/>
        </a:prstGeom>
        <a:ln xmlns:a="http://schemas.openxmlformats.org/drawingml/2006/main" w="28575" cmpd="sng">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0.91497</cdr:x>
      <cdr:y>0.00824</cdr:y>
    </cdr:from>
    <cdr:to>
      <cdr:x>0.95581</cdr:x>
      <cdr:y>0.07057</cdr:y>
    </cdr:to>
    <cdr:pic macro="[0]!Accueil">
      <cdr:nvPicPr>
        <cdr:cNvPr id="10" name="Graphique 1" descr="Newspaper">
          <a:extLst xmlns:a="http://schemas.openxmlformats.org/drawingml/2006/main">
            <a:ext uri="{FF2B5EF4-FFF2-40B4-BE49-F238E27FC236}">
              <a16:creationId xmlns:a16="http://schemas.microsoft.com/office/drawing/2014/main" id="{D3BE0C27-8517-43C3-9C2A-0DAC1E521A5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9054934" y="50800"/>
          <a:ext cx="404189" cy="384072"/>
        </a:xfrm>
        <a:prstGeom xmlns:a="http://schemas.openxmlformats.org/drawingml/2006/main" prst="rect">
          <a:avLst/>
        </a:prstGeom>
      </cdr:spPr>
    </cdr:pic>
  </cdr:relSizeAnchor>
  <cdr:relSizeAnchor xmlns:cdr="http://schemas.openxmlformats.org/drawingml/2006/chartDrawing">
    <cdr:from>
      <cdr:x>0.81842</cdr:x>
      <cdr:y>0.02271</cdr:y>
    </cdr:from>
    <cdr:to>
      <cdr:x>0.92052</cdr:x>
      <cdr:y>0.06501</cdr:y>
    </cdr:to>
    <cdr:sp macro="[0]!Accueil" textlink="">
      <cdr:nvSpPr>
        <cdr:cNvPr id="12" name="ZoneTexte 2">
          <a:extLst xmlns:a="http://schemas.openxmlformats.org/drawingml/2006/main">
            <a:ext uri="{FF2B5EF4-FFF2-40B4-BE49-F238E27FC236}">
              <a16:creationId xmlns:a16="http://schemas.microsoft.com/office/drawing/2014/main" id="{A99869F0-9504-4101-94B1-082E8E30D5D4}"/>
            </a:ext>
          </a:extLst>
        </cdr:cNvPr>
        <cdr:cNvSpPr txBox="1"/>
      </cdr:nvSpPr>
      <cdr:spPr>
        <a:xfrm xmlns:a="http://schemas.openxmlformats.org/drawingml/2006/main">
          <a:off x="8099425" y="139973"/>
          <a:ext cx="1010473" cy="2606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Page d'accueil</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333375</xdr:colOff>
          <xdr:row>8</xdr:row>
          <xdr:rowOff>123825</xdr:rowOff>
        </xdr:from>
        <xdr:to>
          <xdr:col>3</xdr:col>
          <xdr:colOff>809625</xdr:colOff>
          <xdr:row>8</xdr:row>
          <xdr:rowOff>390525</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9</xdr:row>
          <xdr:rowOff>123825</xdr:rowOff>
        </xdr:from>
        <xdr:to>
          <xdr:col>3</xdr:col>
          <xdr:colOff>809625</xdr:colOff>
          <xdr:row>9</xdr:row>
          <xdr:rowOff>390525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10</xdr:row>
          <xdr:rowOff>123825</xdr:rowOff>
        </xdr:from>
        <xdr:to>
          <xdr:col>3</xdr:col>
          <xdr:colOff>809625</xdr:colOff>
          <xdr:row>10</xdr:row>
          <xdr:rowOff>390525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11</xdr:row>
          <xdr:rowOff>123825</xdr:rowOff>
        </xdr:from>
        <xdr:to>
          <xdr:col>3</xdr:col>
          <xdr:colOff>809625</xdr:colOff>
          <xdr:row>11</xdr:row>
          <xdr:rowOff>390525</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12</xdr:row>
          <xdr:rowOff>123825</xdr:rowOff>
        </xdr:from>
        <xdr:to>
          <xdr:col>3</xdr:col>
          <xdr:colOff>809625</xdr:colOff>
          <xdr:row>12</xdr:row>
          <xdr:rowOff>390525</xdr:rowOff>
        </xdr:to>
        <xdr:sp macro="" textlink="">
          <xdr:nvSpPr>
            <xdr:cNvPr id="2054" name="Drop Down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13</xdr:row>
          <xdr:rowOff>123825</xdr:rowOff>
        </xdr:from>
        <xdr:to>
          <xdr:col>3</xdr:col>
          <xdr:colOff>809625</xdr:colOff>
          <xdr:row>13</xdr:row>
          <xdr:rowOff>390525</xdr:rowOff>
        </xdr:to>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14</xdr:row>
          <xdr:rowOff>123825</xdr:rowOff>
        </xdr:from>
        <xdr:to>
          <xdr:col>3</xdr:col>
          <xdr:colOff>809625</xdr:colOff>
          <xdr:row>14</xdr:row>
          <xdr:rowOff>390525</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15</xdr:row>
          <xdr:rowOff>123825</xdr:rowOff>
        </xdr:from>
        <xdr:to>
          <xdr:col>3</xdr:col>
          <xdr:colOff>809625</xdr:colOff>
          <xdr:row>15</xdr:row>
          <xdr:rowOff>390525</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16</xdr:row>
          <xdr:rowOff>123825</xdr:rowOff>
        </xdr:from>
        <xdr:to>
          <xdr:col>3</xdr:col>
          <xdr:colOff>809625</xdr:colOff>
          <xdr:row>16</xdr:row>
          <xdr:rowOff>390525</xdr:rowOff>
        </xdr:to>
        <xdr:sp macro="" textlink="">
          <xdr:nvSpPr>
            <xdr:cNvPr id="2058" name="Drop Down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18</xdr:row>
          <xdr:rowOff>123825</xdr:rowOff>
        </xdr:from>
        <xdr:to>
          <xdr:col>3</xdr:col>
          <xdr:colOff>809625</xdr:colOff>
          <xdr:row>18</xdr:row>
          <xdr:rowOff>390525</xdr:rowOff>
        </xdr:to>
        <xdr:sp macro="" textlink="">
          <xdr:nvSpPr>
            <xdr:cNvPr id="2059" name="Drop Down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19</xdr:row>
          <xdr:rowOff>123825</xdr:rowOff>
        </xdr:from>
        <xdr:to>
          <xdr:col>3</xdr:col>
          <xdr:colOff>809625</xdr:colOff>
          <xdr:row>19</xdr:row>
          <xdr:rowOff>390525</xdr:rowOff>
        </xdr:to>
        <xdr:sp macro="" textlink="">
          <xdr:nvSpPr>
            <xdr:cNvPr id="2060" name="Drop Down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20</xdr:row>
          <xdr:rowOff>123825</xdr:rowOff>
        </xdr:from>
        <xdr:to>
          <xdr:col>3</xdr:col>
          <xdr:colOff>809625</xdr:colOff>
          <xdr:row>20</xdr:row>
          <xdr:rowOff>390525</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21</xdr:row>
          <xdr:rowOff>123825</xdr:rowOff>
        </xdr:from>
        <xdr:to>
          <xdr:col>3</xdr:col>
          <xdr:colOff>809625</xdr:colOff>
          <xdr:row>21</xdr:row>
          <xdr:rowOff>390525</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22</xdr:row>
          <xdr:rowOff>123825</xdr:rowOff>
        </xdr:from>
        <xdr:to>
          <xdr:col>3</xdr:col>
          <xdr:colOff>809625</xdr:colOff>
          <xdr:row>22</xdr:row>
          <xdr:rowOff>390525</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23</xdr:row>
          <xdr:rowOff>123825</xdr:rowOff>
        </xdr:from>
        <xdr:to>
          <xdr:col>3</xdr:col>
          <xdr:colOff>809625</xdr:colOff>
          <xdr:row>23</xdr:row>
          <xdr:rowOff>390525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24</xdr:row>
          <xdr:rowOff>123825</xdr:rowOff>
        </xdr:from>
        <xdr:to>
          <xdr:col>3</xdr:col>
          <xdr:colOff>809625</xdr:colOff>
          <xdr:row>24</xdr:row>
          <xdr:rowOff>390525</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25</xdr:row>
          <xdr:rowOff>123825</xdr:rowOff>
        </xdr:from>
        <xdr:to>
          <xdr:col>3</xdr:col>
          <xdr:colOff>809625</xdr:colOff>
          <xdr:row>25</xdr:row>
          <xdr:rowOff>390525</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26</xdr:row>
          <xdr:rowOff>123825</xdr:rowOff>
        </xdr:from>
        <xdr:to>
          <xdr:col>3</xdr:col>
          <xdr:colOff>809625</xdr:colOff>
          <xdr:row>26</xdr:row>
          <xdr:rowOff>390525</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27</xdr:row>
          <xdr:rowOff>123825</xdr:rowOff>
        </xdr:from>
        <xdr:to>
          <xdr:col>3</xdr:col>
          <xdr:colOff>809625</xdr:colOff>
          <xdr:row>27</xdr:row>
          <xdr:rowOff>390525</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28</xdr:row>
          <xdr:rowOff>123825</xdr:rowOff>
        </xdr:from>
        <xdr:to>
          <xdr:col>3</xdr:col>
          <xdr:colOff>809625</xdr:colOff>
          <xdr:row>28</xdr:row>
          <xdr:rowOff>390525</xdr:rowOff>
        </xdr:to>
        <xdr:sp macro="" textlink="">
          <xdr:nvSpPr>
            <xdr:cNvPr id="2071" name="Drop Down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29</xdr:row>
          <xdr:rowOff>123825</xdr:rowOff>
        </xdr:from>
        <xdr:to>
          <xdr:col>3</xdr:col>
          <xdr:colOff>809625</xdr:colOff>
          <xdr:row>29</xdr:row>
          <xdr:rowOff>390525</xdr:rowOff>
        </xdr:to>
        <xdr:sp macro="" textlink="">
          <xdr:nvSpPr>
            <xdr:cNvPr id="2072" name="Drop Down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30</xdr:row>
          <xdr:rowOff>123825</xdr:rowOff>
        </xdr:from>
        <xdr:to>
          <xdr:col>3</xdr:col>
          <xdr:colOff>809625</xdr:colOff>
          <xdr:row>30</xdr:row>
          <xdr:rowOff>390525</xdr:rowOff>
        </xdr:to>
        <xdr:sp macro="" textlink="">
          <xdr:nvSpPr>
            <xdr:cNvPr id="2073" name="Drop Down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31</xdr:row>
          <xdr:rowOff>123825</xdr:rowOff>
        </xdr:from>
        <xdr:to>
          <xdr:col>3</xdr:col>
          <xdr:colOff>809625</xdr:colOff>
          <xdr:row>31</xdr:row>
          <xdr:rowOff>390525</xdr:rowOff>
        </xdr:to>
        <xdr:sp macro="" textlink="">
          <xdr:nvSpPr>
            <xdr:cNvPr id="2074" name="Drop Down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32</xdr:row>
          <xdr:rowOff>123825</xdr:rowOff>
        </xdr:from>
        <xdr:to>
          <xdr:col>3</xdr:col>
          <xdr:colOff>809625</xdr:colOff>
          <xdr:row>32</xdr:row>
          <xdr:rowOff>390525</xdr:rowOff>
        </xdr:to>
        <xdr:sp macro="" textlink="">
          <xdr:nvSpPr>
            <xdr:cNvPr id="2075" name="Drop Down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33</xdr:row>
          <xdr:rowOff>123825</xdr:rowOff>
        </xdr:from>
        <xdr:to>
          <xdr:col>3</xdr:col>
          <xdr:colOff>809625</xdr:colOff>
          <xdr:row>33</xdr:row>
          <xdr:rowOff>390525</xdr:rowOff>
        </xdr:to>
        <xdr:sp macro="" textlink="">
          <xdr:nvSpPr>
            <xdr:cNvPr id="2076" name="Drop Down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34</xdr:row>
          <xdr:rowOff>123825</xdr:rowOff>
        </xdr:from>
        <xdr:to>
          <xdr:col>2</xdr:col>
          <xdr:colOff>1057275</xdr:colOff>
          <xdr:row>34</xdr:row>
          <xdr:rowOff>390525</xdr:rowOff>
        </xdr:to>
        <xdr:sp macro="" textlink="">
          <xdr:nvSpPr>
            <xdr:cNvPr id="2077" name="Drop Down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257175</xdr:colOff>
          <xdr:row>0</xdr:row>
          <xdr:rowOff>76200</xdr:rowOff>
        </xdr:from>
        <xdr:to>
          <xdr:col>2</xdr:col>
          <xdr:colOff>2352675</xdr:colOff>
          <xdr:row>1</xdr:row>
          <xdr:rowOff>257175</xdr:rowOff>
        </xdr:to>
        <xdr:sp macro="" textlink="">
          <xdr:nvSpPr>
            <xdr:cNvPr id="2364" name="Button 316" hidden="1">
              <a:extLst>
                <a:ext uri="{63B3BB69-23CF-44E3-9099-C40C66FF867C}">
                  <a14:compatExt spid="_x0000_s2364"/>
                </a:ext>
                <a:ext uri="{FF2B5EF4-FFF2-40B4-BE49-F238E27FC236}">
                  <a16:creationId xmlns:a16="http://schemas.microsoft.com/office/drawing/2014/main" id="{00000000-0008-0000-0300-00003C09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2476500</xdr:colOff>
          <xdr:row>37</xdr:row>
          <xdr:rowOff>76200</xdr:rowOff>
        </xdr:from>
        <xdr:to>
          <xdr:col>2</xdr:col>
          <xdr:colOff>304800</xdr:colOff>
          <xdr:row>39</xdr:row>
          <xdr:rowOff>152400</xdr:rowOff>
        </xdr:to>
        <xdr:sp macro="" textlink="">
          <xdr:nvSpPr>
            <xdr:cNvPr id="2792" name="Button 744" hidden="1">
              <a:extLst>
                <a:ext uri="{63B3BB69-23CF-44E3-9099-C40C66FF867C}">
                  <a14:compatExt spid="_x0000_s2792"/>
                </a:ext>
                <a:ext uri="{FF2B5EF4-FFF2-40B4-BE49-F238E27FC236}">
                  <a16:creationId xmlns:a16="http://schemas.microsoft.com/office/drawing/2014/main" id="{00000000-0008-0000-0300-0000E80A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Passer à la suite des questionnaires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7</xdr:row>
          <xdr:rowOff>76200</xdr:rowOff>
        </xdr:from>
        <xdr:to>
          <xdr:col>2</xdr:col>
          <xdr:colOff>3429000</xdr:colOff>
          <xdr:row>7</xdr:row>
          <xdr:rowOff>333375</xdr:rowOff>
        </xdr:to>
        <xdr:sp macro="" textlink="">
          <xdr:nvSpPr>
            <xdr:cNvPr id="545877" name="Drop Down 85" hidden="1">
              <a:extLst>
                <a:ext uri="{63B3BB69-23CF-44E3-9099-C40C66FF867C}">
                  <a14:compatExt spid="_x0000_s545877"/>
                </a:ext>
                <a:ext uri="{FF2B5EF4-FFF2-40B4-BE49-F238E27FC236}">
                  <a16:creationId xmlns:a16="http://schemas.microsoft.com/office/drawing/2014/main" id="{00000000-0008-0000-0400-00005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76200</xdr:rowOff>
        </xdr:from>
        <xdr:to>
          <xdr:col>2</xdr:col>
          <xdr:colOff>3429000</xdr:colOff>
          <xdr:row>8</xdr:row>
          <xdr:rowOff>333375</xdr:rowOff>
        </xdr:to>
        <xdr:sp macro="" textlink="">
          <xdr:nvSpPr>
            <xdr:cNvPr id="545878" name="Drop Down 86" hidden="1">
              <a:extLst>
                <a:ext uri="{63B3BB69-23CF-44E3-9099-C40C66FF867C}">
                  <a14:compatExt spid="_x0000_s545878"/>
                </a:ext>
                <a:ext uri="{FF2B5EF4-FFF2-40B4-BE49-F238E27FC236}">
                  <a16:creationId xmlns:a16="http://schemas.microsoft.com/office/drawing/2014/main" id="{00000000-0008-0000-0400-00005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76200</xdr:rowOff>
        </xdr:from>
        <xdr:to>
          <xdr:col>2</xdr:col>
          <xdr:colOff>3429000</xdr:colOff>
          <xdr:row>9</xdr:row>
          <xdr:rowOff>333375</xdr:rowOff>
        </xdr:to>
        <xdr:sp macro="" textlink="">
          <xdr:nvSpPr>
            <xdr:cNvPr id="545879" name="Drop Down 87" hidden="1">
              <a:extLst>
                <a:ext uri="{63B3BB69-23CF-44E3-9099-C40C66FF867C}">
                  <a14:compatExt spid="_x0000_s545879"/>
                </a:ext>
                <a:ext uri="{FF2B5EF4-FFF2-40B4-BE49-F238E27FC236}">
                  <a16:creationId xmlns:a16="http://schemas.microsoft.com/office/drawing/2014/main" id="{00000000-0008-0000-0400-00005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76200</xdr:rowOff>
        </xdr:from>
        <xdr:to>
          <xdr:col>2</xdr:col>
          <xdr:colOff>3429000</xdr:colOff>
          <xdr:row>10</xdr:row>
          <xdr:rowOff>333375</xdr:rowOff>
        </xdr:to>
        <xdr:sp macro="" textlink="">
          <xdr:nvSpPr>
            <xdr:cNvPr id="545880" name="Drop Down 88" hidden="1">
              <a:extLst>
                <a:ext uri="{63B3BB69-23CF-44E3-9099-C40C66FF867C}">
                  <a14:compatExt spid="_x0000_s545880"/>
                </a:ext>
                <a:ext uri="{FF2B5EF4-FFF2-40B4-BE49-F238E27FC236}">
                  <a16:creationId xmlns:a16="http://schemas.microsoft.com/office/drawing/2014/main" id="{00000000-0008-0000-0400-00005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76200</xdr:rowOff>
        </xdr:from>
        <xdr:to>
          <xdr:col>2</xdr:col>
          <xdr:colOff>3429000</xdr:colOff>
          <xdr:row>11</xdr:row>
          <xdr:rowOff>333375</xdr:rowOff>
        </xdr:to>
        <xdr:sp macro="" textlink="">
          <xdr:nvSpPr>
            <xdr:cNvPr id="545881" name="Drop Down 89" hidden="1">
              <a:extLst>
                <a:ext uri="{63B3BB69-23CF-44E3-9099-C40C66FF867C}">
                  <a14:compatExt spid="_x0000_s545881"/>
                </a:ext>
                <a:ext uri="{FF2B5EF4-FFF2-40B4-BE49-F238E27FC236}">
                  <a16:creationId xmlns:a16="http://schemas.microsoft.com/office/drawing/2014/main" id="{00000000-0008-0000-0400-000059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76200</xdr:rowOff>
        </xdr:from>
        <xdr:to>
          <xdr:col>2</xdr:col>
          <xdr:colOff>3429000</xdr:colOff>
          <xdr:row>12</xdr:row>
          <xdr:rowOff>333375</xdr:rowOff>
        </xdr:to>
        <xdr:sp macro="" textlink="">
          <xdr:nvSpPr>
            <xdr:cNvPr id="545882" name="Drop Down 90" hidden="1">
              <a:extLst>
                <a:ext uri="{63B3BB69-23CF-44E3-9099-C40C66FF867C}">
                  <a14:compatExt spid="_x0000_s545882"/>
                </a:ext>
                <a:ext uri="{FF2B5EF4-FFF2-40B4-BE49-F238E27FC236}">
                  <a16:creationId xmlns:a16="http://schemas.microsoft.com/office/drawing/2014/main" id="{00000000-0008-0000-0400-00005A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76200</xdr:rowOff>
        </xdr:from>
        <xdr:to>
          <xdr:col>2</xdr:col>
          <xdr:colOff>3429000</xdr:colOff>
          <xdr:row>14</xdr:row>
          <xdr:rowOff>333375</xdr:rowOff>
        </xdr:to>
        <xdr:sp macro="" textlink="">
          <xdr:nvSpPr>
            <xdr:cNvPr id="545883" name="Drop Down 91" hidden="1">
              <a:extLst>
                <a:ext uri="{63B3BB69-23CF-44E3-9099-C40C66FF867C}">
                  <a14:compatExt spid="_x0000_s545883"/>
                </a:ext>
                <a:ext uri="{FF2B5EF4-FFF2-40B4-BE49-F238E27FC236}">
                  <a16:creationId xmlns:a16="http://schemas.microsoft.com/office/drawing/2014/main" id="{00000000-0008-0000-0400-00005B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76200</xdr:rowOff>
        </xdr:from>
        <xdr:to>
          <xdr:col>2</xdr:col>
          <xdr:colOff>3429000</xdr:colOff>
          <xdr:row>15</xdr:row>
          <xdr:rowOff>333375</xdr:rowOff>
        </xdr:to>
        <xdr:sp macro="" textlink="">
          <xdr:nvSpPr>
            <xdr:cNvPr id="545884" name="Drop Down 92" hidden="1">
              <a:extLst>
                <a:ext uri="{63B3BB69-23CF-44E3-9099-C40C66FF867C}">
                  <a14:compatExt spid="_x0000_s545884"/>
                </a:ext>
                <a:ext uri="{FF2B5EF4-FFF2-40B4-BE49-F238E27FC236}">
                  <a16:creationId xmlns:a16="http://schemas.microsoft.com/office/drawing/2014/main" id="{00000000-0008-0000-0400-00005C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76200</xdr:rowOff>
        </xdr:from>
        <xdr:to>
          <xdr:col>2</xdr:col>
          <xdr:colOff>3429000</xdr:colOff>
          <xdr:row>16</xdr:row>
          <xdr:rowOff>333375</xdr:rowOff>
        </xdr:to>
        <xdr:sp macro="" textlink="">
          <xdr:nvSpPr>
            <xdr:cNvPr id="545885" name="Drop Down 93" hidden="1">
              <a:extLst>
                <a:ext uri="{63B3BB69-23CF-44E3-9099-C40C66FF867C}">
                  <a14:compatExt spid="_x0000_s545885"/>
                </a:ext>
                <a:ext uri="{FF2B5EF4-FFF2-40B4-BE49-F238E27FC236}">
                  <a16:creationId xmlns:a16="http://schemas.microsoft.com/office/drawing/2014/main" id="{00000000-0008-0000-0400-00005D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76200</xdr:rowOff>
        </xdr:from>
        <xdr:to>
          <xdr:col>2</xdr:col>
          <xdr:colOff>3429000</xdr:colOff>
          <xdr:row>17</xdr:row>
          <xdr:rowOff>333375</xdr:rowOff>
        </xdr:to>
        <xdr:sp macro="" textlink="">
          <xdr:nvSpPr>
            <xdr:cNvPr id="545886" name="Drop Down 94" hidden="1">
              <a:extLst>
                <a:ext uri="{63B3BB69-23CF-44E3-9099-C40C66FF867C}">
                  <a14:compatExt spid="_x0000_s545886"/>
                </a:ext>
                <a:ext uri="{FF2B5EF4-FFF2-40B4-BE49-F238E27FC236}">
                  <a16:creationId xmlns:a16="http://schemas.microsoft.com/office/drawing/2014/main" id="{00000000-0008-0000-0400-00005E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76200</xdr:rowOff>
        </xdr:from>
        <xdr:to>
          <xdr:col>2</xdr:col>
          <xdr:colOff>3429000</xdr:colOff>
          <xdr:row>18</xdr:row>
          <xdr:rowOff>333375</xdr:rowOff>
        </xdr:to>
        <xdr:sp macro="" textlink="">
          <xdr:nvSpPr>
            <xdr:cNvPr id="545887" name="Drop Down 95" hidden="1">
              <a:extLst>
                <a:ext uri="{63B3BB69-23CF-44E3-9099-C40C66FF867C}">
                  <a14:compatExt spid="_x0000_s545887"/>
                </a:ext>
                <a:ext uri="{FF2B5EF4-FFF2-40B4-BE49-F238E27FC236}">
                  <a16:creationId xmlns:a16="http://schemas.microsoft.com/office/drawing/2014/main" id="{00000000-0008-0000-0400-00005F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76200</xdr:rowOff>
        </xdr:from>
        <xdr:to>
          <xdr:col>2</xdr:col>
          <xdr:colOff>3429000</xdr:colOff>
          <xdr:row>19</xdr:row>
          <xdr:rowOff>333375</xdr:rowOff>
        </xdr:to>
        <xdr:sp macro="" textlink="">
          <xdr:nvSpPr>
            <xdr:cNvPr id="545888" name="Drop Down 96" hidden="1">
              <a:extLst>
                <a:ext uri="{63B3BB69-23CF-44E3-9099-C40C66FF867C}">
                  <a14:compatExt spid="_x0000_s545888"/>
                </a:ext>
                <a:ext uri="{FF2B5EF4-FFF2-40B4-BE49-F238E27FC236}">
                  <a16:creationId xmlns:a16="http://schemas.microsoft.com/office/drawing/2014/main" id="{00000000-0008-0000-0400-000060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76200</xdr:rowOff>
        </xdr:from>
        <xdr:to>
          <xdr:col>2</xdr:col>
          <xdr:colOff>3429000</xdr:colOff>
          <xdr:row>21</xdr:row>
          <xdr:rowOff>333375</xdr:rowOff>
        </xdr:to>
        <xdr:sp macro="" textlink="">
          <xdr:nvSpPr>
            <xdr:cNvPr id="545889" name="Drop Down 97" hidden="1">
              <a:extLst>
                <a:ext uri="{63B3BB69-23CF-44E3-9099-C40C66FF867C}">
                  <a14:compatExt spid="_x0000_s545889"/>
                </a:ext>
                <a:ext uri="{FF2B5EF4-FFF2-40B4-BE49-F238E27FC236}">
                  <a16:creationId xmlns:a16="http://schemas.microsoft.com/office/drawing/2014/main" id="{00000000-0008-0000-0400-000061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76200</xdr:rowOff>
        </xdr:from>
        <xdr:to>
          <xdr:col>2</xdr:col>
          <xdr:colOff>3429000</xdr:colOff>
          <xdr:row>22</xdr:row>
          <xdr:rowOff>333375</xdr:rowOff>
        </xdr:to>
        <xdr:sp macro="" textlink="">
          <xdr:nvSpPr>
            <xdr:cNvPr id="545890" name="Drop Down 98" hidden="1">
              <a:extLst>
                <a:ext uri="{63B3BB69-23CF-44E3-9099-C40C66FF867C}">
                  <a14:compatExt spid="_x0000_s545890"/>
                </a:ext>
                <a:ext uri="{FF2B5EF4-FFF2-40B4-BE49-F238E27FC236}">
                  <a16:creationId xmlns:a16="http://schemas.microsoft.com/office/drawing/2014/main" id="{00000000-0008-0000-0400-000062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76200</xdr:rowOff>
        </xdr:from>
        <xdr:to>
          <xdr:col>2</xdr:col>
          <xdr:colOff>3429000</xdr:colOff>
          <xdr:row>23</xdr:row>
          <xdr:rowOff>333375</xdr:rowOff>
        </xdr:to>
        <xdr:sp macro="" textlink="">
          <xdr:nvSpPr>
            <xdr:cNvPr id="545891" name="Drop Down 99" hidden="1">
              <a:extLst>
                <a:ext uri="{63B3BB69-23CF-44E3-9099-C40C66FF867C}">
                  <a14:compatExt spid="_x0000_s545891"/>
                </a:ext>
                <a:ext uri="{FF2B5EF4-FFF2-40B4-BE49-F238E27FC236}">
                  <a16:creationId xmlns:a16="http://schemas.microsoft.com/office/drawing/2014/main" id="{00000000-0008-0000-0400-000063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xdr:row>
          <xdr:rowOff>76200</xdr:rowOff>
        </xdr:from>
        <xdr:to>
          <xdr:col>2</xdr:col>
          <xdr:colOff>3429000</xdr:colOff>
          <xdr:row>24</xdr:row>
          <xdr:rowOff>333375</xdr:rowOff>
        </xdr:to>
        <xdr:sp macro="" textlink="">
          <xdr:nvSpPr>
            <xdr:cNvPr id="545892" name="Drop Down 100" hidden="1">
              <a:extLst>
                <a:ext uri="{63B3BB69-23CF-44E3-9099-C40C66FF867C}">
                  <a14:compatExt spid="_x0000_s545892"/>
                </a:ext>
                <a:ext uri="{FF2B5EF4-FFF2-40B4-BE49-F238E27FC236}">
                  <a16:creationId xmlns:a16="http://schemas.microsoft.com/office/drawing/2014/main" id="{00000000-0008-0000-0400-000064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76200</xdr:rowOff>
        </xdr:from>
        <xdr:to>
          <xdr:col>2</xdr:col>
          <xdr:colOff>3429000</xdr:colOff>
          <xdr:row>25</xdr:row>
          <xdr:rowOff>333375</xdr:rowOff>
        </xdr:to>
        <xdr:sp macro="" textlink="">
          <xdr:nvSpPr>
            <xdr:cNvPr id="545893" name="Drop Down 101" hidden="1">
              <a:extLst>
                <a:ext uri="{63B3BB69-23CF-44E3-9099-C40C66FF867C}">
                  <a14:compatExt spid="_x0000_s545893"/>
                </a:ext>
                <a:ext uri="{FF2B5EF4-FFF2-40B4-BE49-F238E27FC236}">
                  <a16:creationId xmlns:a16="http://schemas.microsoft.com/office/drawing/2014/main" id="{00000000-0008-0000-0400-00006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76200</xdr:rowOff>
        </xdr:from>
        <xdr:to>
          <xdr:col>2</xdr:col>
          <xdr:colOff>3429000</xdr:colOff>
          <xdr:row>26</xdr:row>
          <xdr:rowOff>333375</xdr:rowOff>
        </xdr:to>
        <xdr:sp macro="" textlink="">
          <xdr:nvSpPr>
            <xdr:cNvPr id="545894" name="Drop Down 102" hidden="1">
              <a:extLst>
                <a:ext uri="{63B3BB69-23CF-44E3-9099-C40C66FF867C}">
                  <a14:compatExt spid="_x0000_s545894"/>
                </a:ext>
                <a:ext uri="{FF2B5EF4-FFF2-40B4-BE49-F238E27FC236}">
                  <a16:creationId xmlns:a16="http://schemas.microsoft.com/office/drawing/2014/main" id="{00000000-0008-0000-0400-00006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76200</xdr:rowOff>
        </xdr:from>
        <xdr:to>
          <xdr:col>2</xdr:col>
          <xdr:colOff>3429000</xdr:colOff>
          <xdr:row>28</xdr:row>
          <xdr:rowOff>333375</xdr:rowOff>
        </xdr:to>
        <xdr:sp macro="" textlink="">
          <xdr:nvSpPr>
            <xdr:cNvPr id="545895" name="Drop Down 103" hidden="1">
              <a:extLst>
                <a:ext uri="{63B3BB69-23CF-44E3-9099-C40C66FF867C}">
                  <a14:compatExt spid="_x0000_s545895"/>
                </a:ext>
                <a:ext uri="{FF2B5EF4-FFF2-40B4-BE49-F238E27FC236}">
                  <a16:creationId xmlns:a16="http://schemas.microsoft.com/office/drawing/2014/main" id="{00000000-0008-0000-0400-00006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76200</xdr:rowOff>
        </xdr:from>
        <xdr:to>
          <xdr:col>2</xdr:col>
          <xdr:colOff>3429000</xdr:colOff>
          <xdr:row>29</xdr:row>
          <xdr:rowOff>333375</xdr:rowOff>
        </xdr:to>
        <xdr:sp macro="" textlink="">
          <xdr:nvSpPr>
            <xdr:cNvPr id="545896" name="Drop Down 104" hidden="1">
              <a:extLst>
                <a:ext uri="{63B3BB69-23CF-44E3-9099-C40C66FF867C}">
                  <a14:compatExt spid="_x0000_s545896"/>
                </a:ext>
                <a:ext uri="{FF2B5EF4-FFF2-40B4-BE49-F238E27FC236}">
                  <a16:creationId xmlns:a16="http://schemas.microsoft.com/office/drawing/2014/main" id="{00000000-0008-0000-0400-00006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76200</xdr:rowOff>
        </xdr:from>
        <xdr:to>
          <xdr:col>2</xdr:col>
          <xdr:colOff>3429000</xdr:colOff>
          <xdr:row>30</xdr:row>
          <xdr:rowOff>333375</xdr:rowOff>
        </xdr:to>
        <xdr:sp macro="" textlink="">
          <xdr:nvSpPr>
            <xdr:cNvPr id="545897" name="Drop Down 105" hidden="1">
              <a:extLst>
                <a:ext uri="{63B3BB69-23CF-44E3-9099-C40C66FF867C}">
                  <a14:compatExt spid="_x0000_s545897"/>
                </a:ext>
                <a:ext uri="{FF2B5EF4-FFF2-40B4-BE49-F238E27FC236}">
                  <a16:creationId xmlns:a16="http://schemas.microsoft.com/office/drawing/2014/main" id="{00000000-0008-0000-0400-000069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76200</xdr:rowOff>
        </xdr:from>
        <xdr:to>
          <xdr:col>2</xdr:col>
          <xdr:colOff>3429000</xdr:colOff>
          <xdr:row>31</xdr:row>
          <xdr:rowOff>333375</xdr:rowOff>
        </xdr:to>
        <xdr:sp macro="" textlink="">
          <xdr:nvSpPr>
            <xdr:cNvPr id="545898" name="Drop Down 106" hidden="1">
              <a:extLst>
                <a:ext uri="{63B3BB69-23CF-44E3-9099-C40C66FF867C}">
                  <a14:compatExt spid="_x0000_s545898"/>
                </a:ext>
                <a:ext uri="{FF2B5EF4-FFF2-40B4-BE49-F238E27FC236}">
                  <a16:creationId xmlns:a16="http://schemas.microsoft.com/office/drawing/2014/main" id="{00000000-0008-0000-0400-00006A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76200</xdr:rowOff>
        </xdr:from>
        <xdr:to>
          <xdr:col>2</xdr:col>
          <xdr:colOff>3429000</xdr:colOff>
          <xdr:row>32</xdr:row>
          <xdr:rowOff>333375</xdr:rowOff>
        </xdr:to>
        <xdr:sp macro="" textlink="">
          <xdr:nvSpPr>
            <xdr:cNvPr id="545899" name="Drop Down 107" hidden="1">
              <a:extLst>
                <a:ext uri="{63B3BB69-23CF-44E3-9099-C40C66FF867C}">
                  <a14:compatExt spid="_x0000_s545899"/>
                </a:ext>
                <a:ext uri="{FF2B5EF4-FFF2-40B4-BE49-F238E27FC236}">
                  <a16:creationId xmlns:a16="http://schemas.microsoft.com/office/drawing/2014/main" id="{00000000-0008-0000-0400-00006B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xdr:row>
          <xdr:rowOff>76200</xdr:rowOff>
        </xdr:from>
        <xdr:to>
          <xdr:col>2</xdr:col>
          <xdr:colOff>3429000</xdr:colOff>
          <xdr:row>33</xdr:row>
          <xdr:rowOff>333375</xdr:rowOff>
        </xdr:to>
        <xdr:sp macro="" textlink="">
          <xdr:nvSpPr>
            <xdr:cNvPr id="545900" name="Drop Down 108" hidden="1">
              <a:extLst>
                <a:ext uri="{63B3BB69-23CF-44E3-9099-C40C66FF867C}">
                  <a14:compatExt spid="_x0000_s545900"/>
                </a:ext>
                <a:ext uri="{FF2B5EF4-FFF2-40B4-BE49-F238E27FC236}">
                  <a16:creationId xmlns:a16="http://schemas.microsoft.com/office/drawing/2014/main" id="{00000000-0008-0000-0400-00006C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76200</xdr:rowOff>
        </xdr:from>
        <xdr:to>
          <xdr:col>2</xdr:col>
          <xdr:colOff>3429000</xdr:colOff>
          <xdr:row>35</xdr:row>
          <xdr:rowOff>333375</xdr:rowOff>
        </xdr:to>
        <xdr:sp macro="" textlink="">
          <xdr:nvSpPr>
            <xdr:cNvPr id="545901" name="Drop Down 109" hidden="1">
              <a:extLst>
                <a:ext uri="{63B3BB69-23CF-44E3-9099-C40C66FF867C}">
                  <a14:compatExt spid="_x0000_s545901"/>
                </a:ext>
                <a:ext uri="{FF2B5EF4-FFF2-40B4-BE49-F238E27FC236}">
                  <a16:creationId xmlns:a16="http://schemas.microsoft.com/office/drawing/2014/main" id="{00000000-0008-0000-0400-00006D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76200</xdr:rowOff>
        </xdr:from>
        <xdr:to>
          <xdr:col>2</xdr:col>
          <xdr:colOff>3429000</xdr:colOff>
          <xdr:row>36</xdr:row>
          <xdr:rowOff>333375</xdr:rowOff>
        </xdr:to>
        <xdr:sp macro="" textlink="">
          <xdr:nvSpPr>
            <xdr:cNvPr id="545902" name="Drop Down 110" hidden="1">
              <a:extLst>
                <a:ext uri="{63B3BB69-23CF-44E3-9099-C40C66FF867C}">
                  <a14:compatExt spid="_x0000_s545902"/>
                </a:ext>
                <a:ext uri="{FF2B5EF4-FFF2-40B4-BE49-F238E27FC236}">
                  <a16:creationId xmlns:a16="http://schemas.microsoft.com/office/drawing/2014/main" id="{00000000-0008-0000-0400-00006E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76200</xdr:rowOff>
        </xdr:from>
        <xdr:to>
          <xdr:col>2</xdr:col>
          <xdr:colOff>3429000</xdr:colOff>
          <xdr:row>37</xdr:row>
          <xdr:rowOff>333375</xdr:rowOff>
        </xdr:to>
        <xdr:sp macro="" textlink="">
          <xdr:nvSpPr>
            <xdr:cNvPr id="545903" name="Drop Down 111" hidden="1">
              <a:extLst>
                <a:ext uri="{63B3BB69-23CF-44E3-9099-C40C66FF867C}">
                  <a14:compatExt spid="_x0000_s545903"/>
                </a:ext>
                <a:ext uri="{FF2B5EF4-FFF2-40B4-BE49-F238E27FC236}">
                  <a16:creationId xmlns:a16="http://schemas.microsoft.com/office/drawing/2014/main" id="{00000000-0008-0000-0400-00006F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76200</xdr:rowOff>
        </xdr:from>
        <xdr:to>
          <xdr:col>2</xdr:col>
          <xdr:colOff>3429000</xdr:colOff>
          <xdr:row>38</xdr:row>
          <xdr:rowOff>333375</xdr:rowOff>
        </xdr:to>
        <xdr:sp macro="" textlink="">
          <xdr:nvSpPr>
            <xdr:cNvPr id="545904" name="Drop Down 112" hidden="1">
              <a:extLst>
                <a:ext uri="{63B3BB69-23CF-44E3-9099-C40C66FF867C}">
                  <a14:compatExt spid="_x0000_s545904"/>
                </a:ext>
                <a:ext uri="{FF2B5EF4-FFF2-40B4-BE49-F238E27FC236}">
                  <a16:creationId xmlns:a16="http://schemas.microsoft.com/office/drawing/2014/main" id="{00000000-0008-0000-0400-000070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39</xdr:row>
          <xdr:rowOff>76200</xdr:rowOff>
        </xdr:from>
        <xdr:to>
          <xdr:col>2</xdr:col>
          <xdr:colOff>3429000</xdr:colOff>
          <xdr:row>39</xdr:row>
          <xdr:rowOff>333375</xdr:rowOff>
        </xdr:to>
        <xdr:sp macro="" textlink="">
          <xdr:nvSpPr>
            <xdr:cNvPr id="545905" name="Drop Down 113" hidden="1">
              <a:extLst>
                <a:ext uri="{63B3BB69-23CF-44E3-9099-C40C66FF867C}">
                  <a14:compatExt spid="_x0000_s545905"/>
                </a:ext>
                <a:ext uri="{FF2B5EF4-FFF2-40B4-BE49-F238E27FC236}">
                  <a16:creationId xmlns:a16="http://schemas.microsoft.com/office/drawing/2014/main" id="{00000000-0008-0000-0400-000071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76200</xdr:rowOff>
        </xdr:from>
        <xdr:to>
          <xdr:col>2</xdr:col>
          <xdr:colOff>3429000</xdr:colOff>
          <xdr:row>40</xdr:row>
          <xdr:rowOff>333375</xdr:rowOff>
        </xdr:to>
        <xdr:sp macro="" textlink="">
          <xdr:nvSpPr>
            <xdr:cNvPr id="545906" name="Drop Down 114" hidden="1">
              <a:extLst>
                <a:ext uri="{63B3BB69-23CF-44E3-9099-C40C66FF867C}">
                  <a14:compatExt spid="_x0000_s545906"/>
                </a:ext>
                <a:ext uri="{FF2B5EF4-FFF2-40B4-BE49-F238E27FC236}">
                  <a16:creationId xmlns:a16="http://schemas.microsoft.com/office/drawing/2014/main" id="{00000000-0008-0000-0400-000072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76200</xdr:rowOff>
        </xdr:from>
        <xdr:to>
          <xdr:col>2</xdr:col>
          <xdr:colOff>3429000</xdr:colOff>
          <xdr:row>42</xdr:row>
          <xdr:rowOff>333375</xdr:rowOff>
        </xdr:to>
        <xdr:sp macro="" textlink="">
          <xdr:nvSpPr>
            <xdr:cNvPr id="545907" name="Drop Down 115" hidden="1">
              <a:extLst>
                <a:ext uri="{63B3BB69-23CF-44E3-9099-C40C66FF867C}">
                  <a14:compatExt spid="_x0000_s545907"/>
                </a:ext>
                <a:ext uri="{FF2B5EF4-FFF2-40B4-BE49-F238E27FC236}">
                  <a16:creationId xmlns:a16="http://schemas.microsoft.com/office/drawing/2014/main" id="{00000000-0008-0000-0400-000073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76200</xdr:rowOff>
        </xdr:from>
        <xdr:to>
          <xdr:col>2</xdr:col>
          <xdr:colOff>3429000</xdr:colOff>
          <xdr:row>43</xdr:row>
          <xdr:rowOff>333375</xdr:rowOff>
        </xdr:to>
        <xdr:sp macro="" textlink="">
          <xdr:nvSpPr>
            <xdr:cNvPr id="545908" name="Drop Down 116" hidden="1">
              <a:extLst>
                <a:ext uri="{63B3BB69-23CF-44E3-9099-C40C66FF867C}">
                  <a14:compatExt spid="_x0000_s545908"/>
                </a:ext>
                <a:ext uri="{FF2B5EF4-FFF2-40B4-BE49-F238E27FC236}">
                  <a16:creationId xmlns:a16="http://schemas.microsoft.com/office/drawing/2014/main" id="{00000000-0008-0000-0400-000074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76200</xdr:rowOff>
        </xdr:from>
        <xdr:to>
          <xdr:col>2</xdr:col>
          <xdr:colOff>3429000</xdr:colOff>
          <xdr:row>44</xdr:row>
          <xdr:rowOff>333375</xdr:rowOff>
        </xdr:to>
        <xdr:sp macro="" textlink="">
          <xdr:nvSpPr>
            <xdr:cNvPr id="545909" name="Drop Down 117" hidden="1">
              <a:extLst>
                <a:ext uri="{63B3BB69-23CF-44E3-9099-C40C66FF867C}">
                  <a14:compatExt spid="_x0000_s545909"/>
                </a:ext>
                <a:ext uri="{FF2B5EF4-FFF2-40B4-BE49-F238E27FC236}">
                  <a16:creationId xmlns:a16="http://schemas.microsoft.com/office/drawing/2014/main" id="{00000000-0008-0000-0400-00007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76200</xdr:rowOff>
        </xdr:from>
        <xdr:to>
          <xdr:col>2</xdr:col>
          <xdr:colOff>3429000</xdr:colOff>
          <xdr:row>45</xdr:row>
          <xdr:rowOff>333375</xdr:rowOff>
        </xdr:to>
        <xdr:sp macro="" textlink="">
          <xdr:nvSpPr>
            <xdr:cNvPr id="545910" name="Drop Down 118" hidden="1">
              <a:extLst>
                <a:ext uri="{63B3BB69-23CF-44E3-9099-C40C66FF867C}">
                  <a14:compatExt spid="_x0000_s545910"/>
                </a:ext>
                <a:ext uri="{FF2B5EF4-FFF2-40B4-BE49-F238E27FC236}">
                  <a16:creationId xmlns:a16="http://schemas.microsoft.com/office/drawing/2014/main" id="{00000000-0008-0000-0400-00007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76200</xdr:rowOff>
        </xdr:from>
        <xdr:to>
          <xdr:col>2</xdr:col>
          <xdr:colOff>3429000</xdr:colOff>
          <xdr:row>46</xdr:row>
          <xdr:rowOff>333375</xdr:rowOff>
        </xdr:to>
        <xdr:sp macro="" textlink="">
          <xdr:nvSpPr>
            <xdr:cNvPr id="545911" name="Drop Down 119" hidden="1">
              <a:extLst>
                <a:ext uri="{63B3BB69-23CF-44E3-9099-C40C66FF867C}">
                  <a14:compatExt spid="_x0000_s545911"/>
                </a:ext>
                <a:ext uri="{FF2B5EF4-FFF2-40B4-BE49-F238E27FC236}">
                  <a16:creationId xmlns:a16="http://schemas.microsoft.com/office/drawing/2014/main" id="{00000000-0008-0000-0400-00007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76200</xdr:rowOff>
        </xdr:from>
        <xdr:to>
          <xdr:col>2</xdr:col>
          <xdr:colOff>3429000</xdr:colOff>
          <xdr:row>47</xdr:row>
          <xdr:rowOff>333375</xdr:rowOff>
        </xdr:to>
        <xdr:sp macro="" textlink="">
          <xdr:nvSpPr>
            <xdr:cNvPr id="545912" name="Drop Down 120" hidden="1">
              <a:extLst>
                <a:ext uri="{63B3BB69-23CF-44E3-9099-C40C66FF867C}">
                  <a14:compatExt spid="_x0000_s545912"/>
                </a:ext>
                <a:ext uri="{FF2B5EF4-FFF2-40B4-BE49-F238E27FC236}">
                  <a16:creationId xmlns:a16="http://schemas.microsoft.com/office/drawing/2014/main" id="{00000000-0008-0000-0400-00007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76200</xdr:rowOff>
        </xdr:from>
        <xdr:to>
          <xdr:col>2</xdr:col>
          <xdr:colOff>3429000</xdr:colOff>
          <xdr:row>49</xdr:row>
          <xdr:rowOff>333375</xdr:rowOff>
        </xdr:to>
        <xdr:sp macro="" textlink="">
          <xdr:nvSpPr>
            <xdr:cNvPr id="545913" name="Drop Down 121" hidden="1">
              <a:extLst>
                <a:ext uri="{63B3BB69-23CF-44E3-9099-C40C66FF867C}">
                  <a14:compatExt spid="_x0000_s545913"/>
                </a:ext>
                <a:ext uri="{FF2B5EF4-FFF2-40B4-BE49-F238E27FC236}">
                  <a16:creationId xmlns:a16="http://schemas.microsoft.com/office/drawing/2014/main" id="{00000000-0008-0000-0400-000079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76200</xdr:rowOff>
        </xdr:from>
        <xdr:to>
          <xdr:col>2</xdr:col>
          <xdr:colOff>3429000</xdr:colOff>
          <xdr:row>50</xdr:row>
          <xdr:rowOff>333375</xdr:rowOff>
        </xdr:to>
        <xdr:sp macro="" textlink="">
          <xdr:nvSpPr>
            <xdr:cNvPr id="545914" name="Drop Down 122" hidden="1">
              <a:extLst>
                <a:ext uri="{63B3BB69-23CF-44E3-9099-C40C66FF867C}">
                  <a14:compatExt spid="_x0000_s545914"/>
                </a:ext>
                <a:ext uri="{FF2B5EF4-FFF2-40B4-BE49-F238E27FC236}">
                  <a16:creationId xmlns:a16="http://schemas.microsoft.com/office/drawing/2014/main" id="{00000000-0008-0000-0400-00007A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51</xdr:row>
          <xdr:rowOff>76200</xdr:rowOff>
        </xdr:from>
        <xdr:to>
          <xdr:col>2</xdr:col>
          <xdr:colOff>3429000</xdr:colOff>
          <xdr:row>51</xdr:row>
          <xdr:rowOff>333375</xdr:rowOff>
        </xdr:to>
        <xdr:sp macro="" textlink="">
          <xdr:nvSpPr>
            <xdr:cNvPr id="545915" name="Drop Down 123" hidden="1">
              <a:extLst>
                <a:ext uri="{63B3BB69-23CF-44E3-9099-C40C66FF867C}">
                  <a14:compatExt spid="_x0000_s545915"/>
                </a:ext>
                <a:ext uri="{FF2B5EF4-FFF2-40B4-BE49-F238E27FC236}">
                  <a16:creationId xmlns:a16="http://schemas.microsoft.com/office/drawing/2014/main" id="{00000000-0008-0000-0400-00007B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76200</xdr:rowOff>
        </xdr:from>
        <xdr:to>
          <xdr:col>2</xdr:col>
          <xdr:colOff>3429000</xdr:colOff>
          <xdr:row>52</xdr:row>
          <xdr:rowOff>333375</xdr:rowOff>
        </xdr:to>
        <xdr:sp macro="" textlink="">
          <xdr:nvSpPr>
            <xdr:cNvPr id="545916" name="Drop Down 124" hidden="1">
              <a:extLst>
                <a:ext uri="{63B3BB69-23CF-44E3-9099-C40C66FF867C}">
                  <a14:compatExt spid="_x0000_s545916"/>
                </a:ext>
                <a:ext uri="{FF2B5EF4-FFF2-40B4-BE49-F238E27FC236}">
                  <a16:creationId xmlns:a16="http://schemas.microsoft.com/office/drawing/2014/main" id="{00000000-0008-0000-0400-00007C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76200</xdr:rowOff>
        </xdr:from>
        <xdr:to>
          <xdr:col>2</xdr:col>
          <xdr:colOff>3429000</xdr:colOff>
          <xdr:row>53</xdr:row>
          <xdr:rowOff>333375</xdr:rowOff>
        </xdr:to>
        <xdr:sp macro="" textlink="">
          <xdr:nvSpPr>
            <xdr:cNvPr id="545917" name="Drop Down 125" hidden="1">
              <a:extLst>
                <a:ext uri="{63B3BB69-23CF-44E3-9099-C40C66FF867C}">
                  <a14:compatExt spid="_x0000_s545917"/>
                </a:ext>
                <a:ext uri="{FF2B5EF4-FFF2-40B4-BE49-F238E27FC236}">
                  <a16:creationId xmlns:a16="http://schemas.microsoft.com/office/drawing/2014/main" id="{00000000-0008-0000-0400-00007D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76200</xdr:rowOff>
        </xdr:from>
        <xdr:to>
          <xdr:col>2</xdr:col>
          <xdr:colOff>3429000</xdr:colOff>
          <xdr:row>54</xdr:row>
          <xdr:rowOff>333375</xdr:rowOff>
        </xdr:to>
        <xdr:sp macro="" textlink="">
          <xdr:nvSpPr>
            <xdr:cNvPr id="545918" name="Drop Down 126" hidden="1">
              <a:extLst>
                <a:ext uri="{63B3BB69-23CF-44E3-9099-C40C66FF867C}">
                  <a14:compatExt spid="_x0000_s545918"/>
                </a:ext>
                <a:ext uri="{FF2B5EF4-FFF2-40B4-BE49-F238E27FC236}">
                  <a16:creationId xmlns:a16="http://schemas.microsoft.com/office/drawing/2014/main" id="{00000000-0008-0000-0400-00007E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76200</xdr:rowOff>
        </xdr:from>
        <xdr:to>
          <xdr:col>2</xdr:col>
          <xdr:colOff>3429000</xdr:colOff>
          <xdr:row>56</xdr:row>
          <xdr:rowOff>333375</xdr:rowOff>
        </xdr:to>
        <xdr:sp macro="" textlink="">
          <xdr:nvSpPr>
            <xdr:cNvPr id="545919" name="Drop Down 127" hidden="1">
              <a:extLst>
                <a:ext uri="{63B3BB69-23CF-44E3-9099-C40C66FF867C}">
                  <a14:compatExt spid="_x0000_s545919"/>
                </a:ext>
                <a:ext uri="{FF2B5EF4-FFF2-40B4-BE49-F238E27FC236}">
                  <a16:creationId xmlns:a16="http://schemas.microsoft.com/office/drawing/2014/main" id="{00000000-0008-0000-0400-00007F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76200</xdr:rowOff>
        </xdr:from>
        <xdr:to>
          <xdr:col>2</xdr:col>
          <xdr:colOff>3429000</xdr:colOff>
          <xdr:row>57</xdr:row>
          <xdr:rowOff>333375</xdr:rowOff>
        </xdr:to>
        <xdr:sp macro="" textlink="">
          <xdr:nvSpPr>
            <xdr:cNvPr id="545920" name="Drop Down 128" hidden="1">
              <a:extLst>
                <a:ext uri="{63B3BB69-23CF-44E3-9099-C40C66FF867C}">
                  <a14:compatExt spid="_x0000_s545920"/>
                </a:ext>
                <a:ext uri="{FF2B5EF4-FFF2-40B4-BE49-F238E27FC236}">
                  <a16:creationId xmlns:a16="http://schemas.microsoft.com/office/drawing/2014/main" id="{00000000-0008-0000-0400-000080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76200</xdr:rowOff>
        </xdr:from>
        <xdr:to>
          <xdr:col>2</xdr:col>
          <xdr:colOff>3429000</xdr:colOff>
          <xdr:row>58</xdr:row>
          <xdr:rowOff>333375</xdr:rowOff>
        </xdr:to>
        <xdr:sp macro="" textlink="">
          <xdr:nvSpPr>
            <xdr:cNvPr id="545921" name="Drop Down 129" hidden="1">
              <a:extLst>
                <a:ext uri="{63B3BB69-23CF-44E3-9099-C40C66FF867C}">
                  <a14:compatExt spid="_x0000_s545921"/>
                </a:ext>
                <a:ext uri="{FF2B5EF4-FFF2-40B4-BE49-F238E27FC236}">
                  <a16:creationId xmlns:a16="http://schemas.microsoft.com/office/drawing/2014/main" id="{00000000-0008-0000-0400-000081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76200</xdr:rowOff>
        </xdr:from>
        <xdr:to>
          <xdr:col>2</xdr:col>
          <xdr:colOff>3429000</xdr:colOff>
          <xdr:row>59</xdr:row>
          <xdr:rowOff>333375</xdr:rowOff>
        </xdr:to>
        <xdr:sp macro="" textlink="">
          <xdr:nvSpPr>
            <xdr:cNvPr id="545922" name="Drop Down 130" hidden="1">
              <a:extLst>
                <a:ext uri="{63B3BB69-23CF-44E3-9099-C40C66FF867C}">
                  <a14:compatExt spid="_x0000_s545922"/>
                </a:ext>
                <a:ext uri="{FF2B5EF4-FFF2-40B4-BE49-F238E27FC236}">
                  <a16:creationId xmlns:a16="http://schemas.microsoft.com/office/drawing/2014/main" id="{00000000-0008-0000-0400-000082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76200</xdr:rowOff>
        </xdr:from>
        <xdr:to>
          <xdr:col>2</xdr:col>
          <xdr:colOff>3429000</xdr:colOff>
          <xdr:row>60</xdr:row>
          <xdr:rowOff>333375</xdr:rowOff>
        </xdr:to>
        <xdr:sp macro="" textlink="">
          <xdr:nvSpPr>
            <xdr:cNvPr id="545923" name="Drop Down 131" hidden="1">
              <a:extLst>
                <a:ext uri="{63B3BB69-23CF-44E3-9099-C40C66FF867C}">
                  <a14:compatExt spid="_x0000_s545923"/>
                </a:ext>
                <a:ext uri="{FF2B5EF4-FFF2-40B4-BE49-F238E27FC236}">
                  <a16:creationId xmlns:a16="http://schemas.microsoft.com/office/drawing/2014/main" id="{00000000-0008-0000-0400-000083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61</xdr:row>
          <xdr:rowOff>76200</xdr:rowOff>
        </xdr:from>
        <xdr:to>
          <xdr:col>2</xdr:col>
          <xdr:colOff>3429000</xdr:colOff>
          <xdr:row>61</xdr:row>
          <xdr:rowOff>333375</xdr:rowOff>
        </xdr:to>
        <xdr:sp macro="" textlink="">
          <xdr:nvSpPr>
            <xdr:cNvPr id="545924" name="Drop Down 132" hidden="1">
              <a:extLst>
                <a:ext uri="{63B3BB69-23CF-44E3-9099-C40C66FF867C}">
                  <a14:compatExt spid="_x0000_s545924"/>
                </a:ext>
                <a:ext uri="{FF2B5EF4-FFF2-40B4-BE49-F238E27FC236}">
                  <a16:creationId xmlns:a16="http://schemas.microsoft.com/office/drawing/2014/main" id="{00000000-0008-0000-0400-000084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63</xdr:row>
          <xdr:rowOff>76200</xdr:rowOff>
        </xdr:from>
        <xdr:to>
          <xdr:col>2</xdr:col>
          <xdr:colOff>3429000</xdr:colOff>
          <xdr:row>63</xdr:row>
          <xdr:rowOff>333375</xdr:rowOff>
        </xdr:to>
        <xdr:sp macro="" textlink="">
          <xdr:nvSpPr>
            <xdr:cNvPr id="545925" name="Drop Down 133" hidden="1">
              <a:extLst>
                <a:ext uri="{63B3BB69-23CF-44E3-9099-C40C66FF867C}">
                  <a14:compatExt spid="_x0000_s545925"/>
                </a:ext>
                <a:ext uri="{FF2B5EF4-FFF2-40B4-BE49-F238E27FC236}">
                  <a16:creationId xmlns:a16="http://schemas.microsoft.com/office/drawing/2014/main" id="{00000000-0008-0000-0400-00008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64</xdr:row>
          <xdr:rowOff>76200</xdr:rowOff>
        </xdr:from>
        <xdr:to>
          <xdr:col>2</xdr:col>
          <xdr:colOff>3429000</xdr:colOff>
          <xdr:row>64</xdr:row>
          <xdr:rowOff>333375</xdr:rowOff>
        </xdr:to>
        <xdr:sp macro="" textlink="">
          <xdr:nvSpPr>
            <xdr:cNvPr id="545926" name="Drop Down 134" hidden="1">
              <a:extLst>
                <a:ext uri="{63B3BB69-23CF-44E3-9099-C40C66FF867C}">
                  <a14:compatExt spid="_x0000_s545926"/>
                </a:ext>
                <a:ext uri="{FF2B5EF4-FFF2-40B4-BE49-F238E27FC236}">
                  <a16:creationId xmlns:a16="http://schemas.microsoft.com/office/drawing/2014/main" id="{00000000-0008-0000-0400-00008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65</xdr:row>
          <xdr:rowOff>76200</xdr:rowOff>
        </xdr:from>
        <xdr:to>
          <xdr:col>2</xdr:col>
          <xdr:colOff>3429000</xdr:colOff>
          <xdr:row>65</xdr:row>
          <xdr:rowOff>333375</xdr:rowOff>
        </xdr:to>
        <xdr:sp macro="" textlink="">
          <xdr:nvSpPr>
            <xdr:cNvPr id="545927" name="Drop Down 135" hidden="1">
              <a:extLst>
                <a:ext uri="{63B3BB69-23CF-44E3-9099-C40C66FF867C}">
                  <a14:compatExt spid="_x0000_s545927"/>
                </a:ext>
                <a:ext uri="{FF2B5EF4-FFF2-40B4-BE49-F238E27FC236}">
                  <a16:creationId xmlns:a16="http://schemas.microsoft.com/office/drawing/2014/main" id="{00000000-0008-0000-0400-00008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66</xdr:row>
          <xdr:rowOff>76200</xdr:rowOff>
        </xdr:from>
        <xdr:to>
          <xdr:col>2</xdr:col>
          <xdr:colOff>3429000</xdr:colOff>
          <xdr:row>66</xdr:row>
          <xdr:rowOff>333375</xdr:rowOff>
        </xdr:to>
        <xdr:sp macro="" textlink="">
          <xdr:nvSpPr>
            <xdr:cNvPr id="545928" name="Drop Down 136" hidden="1">
              <a:extLst>
                <a:ext uri="{63B3BB69-23CF-44E3-9099-C40C66FF867C}">
                  <a14:compatExt spid="_x0000_s545928"/>
                </a:ext>
                <a:ext uri="{FF2B5EF4-FFF2-40B4-BE49-F238E27FC236}">
                  <a16:creationId xmlns:a16="http://schemas.microsoft.com/office/drawing/2014/main" id="{00000000-0008-0000-0400-00008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67</xdr:row>
          <xdr:rowOff>76200</xdr:rowOff>
        </xdr:from>
        <xdr:to>
          <xdr:col>2</xdr:col>
          <xdr:colOff>3429000</xdr:colOff>
          <xdr:row>67</xdr:row>
          <xdr:rowOff>333375</xdr:rowOff>
        </xdr:to>
        <xdr:sp macro="" textlink="">
          <xdr:nvSpPr>
            <xdr:cNvPr id="545929" name="Drop Down 137" hidden="1">
              <a:extLst>
                <a:ext uri="{63B3BB69-23CF-44E3-9099-C40C66FF867C}">
                  <a14:compatExt spid="_x0000_s545929"/>
                </a:ext>
                <a:ext uri="{FF2B5EF4-FFF2-40B4-BE49-F238E27FC236}">
                  <a16:creationId xmlns:a16="http://schemas.microsoft.com/office/drawing/2014/main" id="{00000000-0008-0000-0400-000089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68</xdr:row>
          <xdr:rowOff>76200</xdr:rowOff>
        </xdr:from>
        <xdr:to>
          <xdr:col>2</xdr:col>
          <xdr:colOff>3429000</xdr:colOff>
          <xdr:row>68</xdr:row>
          <xdr:rowOff>333375</xdr:rowOff>
        </xdr:to>
        <xdr:sp macro="" textlink="">
          <xdr:nvSpPr>
            <xdr:cNvPr id="545930" name="Drop Down 138" hidden="1">
              <a:extLst>
                <a:ext uri="{63B3BB69-23CF-44E3-9099-C40C66FF867C}">
                  <a14:compatExt spid="_x0000_s545930"/>
                </a:ext>
                <a:ext uri="{FF2B5EF4-FFF2-40B4-BE49-F238E27FC236}">
                  <a16:creationId xmlns:a16="http://schemas.microsoft.com/office/drawing/2014/main" id="{00000000-0008-0000-0400-00008A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70</xdr:row>
          <xdr:rowOff>76200</xdr:rowOff>
        </xdr:from>
        <xdr:to>
          <xdr:col>2</xdr:col>
          <xdr:colOff>3429000</xdr:colOff>
          <xdr:row>70</xdr:row>
          <xdr:rowOff>333375</xdr:rowOff>
        </xdr:to>
        <xdr:sp macro="" textlink="">
          <xdr:nvSpPr>
            <xdr:cNvPr id="545931" name="Drop Down 139" hidden="1">
              <a:extLst>
                <a:ext uri="{63B3BB69-23CF-44E3-9099-C40C66FF867C}">
                  <a14:compatExt spid="_x0000_s545931"/>
                </a:ext>
                <a:ext uri="{FF2B5EF4-FFF2-40B4-BE49-F238E27FC236}">
                  <a16:creationId xmlns:a16="http://schemas.microsoft.com/office/drawing/2014/main" id="{00000000-0008-0000-0400-00008B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71</xdr:row>
          <xdr:rowOff>76200</xdr:rowOff>
        </xdr:from>
        <xdr:to>
          <xdr:col>2</xdr:col>
          <xdr:colOff>3429000</xdr:colOff>
          <xdr:row>71</xdr:row>
          <xdr:rowOff>333375</xdr:rowOff>
        </xdr:to>
        <xdr:sp macro="" textlink="">
          <xdr:nvSpPr>
            <xdr:cNvPr id="545932" name="Drop Down 140" hidden="1">
              <a:extLst>
                <a:ext uri="{63B3BB69-23CF-44E3-9099-C40C66FF867C}">
                  <a14:compatExt spid="_x0000_s545932"/>
                </a:ext>
                <a:ext uri="{FF2B5EF4-FFF2-40B4-BE49-F238E27FC236}">
                  <a16:creationId xmlns:a16="http://schemas.microsoft.com/office/drawing/2014/main" id="{00000000-0008-0000-0400-00008C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72</xdr:row>
          <xdr:rowOff>76200</xdr:rowOff>
        </xdr:from>
        <xdr:to>
          <xdr:col>2</xdr:col>
          <xdr:colOff>3429000</xdr:colOff>
          <xdr:row>72</xdr:row>
          <xdr:rowOff>333375</xdr:rowOff>
        </xdr:to>
        <xdr:sp macro="" textlink="">
          <xdr:nvSpPr>
            <xdr:cNvPr id="545933" name="Drop Down 141" hidden="1">
              <a:extLst>
                <a:ext uri="{63B3BB69-23CF-44E3-9099-C40C66FF867C}">
                  <a14:compatExt spid="_x0000_s545933"/>
                </a:ext>
                <a:ext uri="{FF2B5EF4-FFF2-40B4-BE49-F238E27FC236}">
                  <a16:creationId xmlns:a16="http://schemas.microsoft.com/office/drawing/2014/main" id="{00000000-0008-0000-0400-00008D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73</xdr:row>
          <xdr:rowOff>76200</xdr:rowOff>
        </xdr:from>
        <xdr:to>
          <xdr:col>2</xdr:col>
          <xdr:colOff>3429000</xdr:colOff>
          <xdr:row>73</xdr:row>
          <xdr:rowOff>333375</xdr:rowOff>
        </xdr:to>
        <xdr:sp macro="" textlink="">
          <xdr:nvSpPr>
            <xdr:cNvPr id="545934" name="Drop Down 142" hidden="1">
              <a:extLst>
                <a:ext uri="{63B3BB69-23CF-44E3-9099-C40C66FF867C}">
                  <a14:compatExt spid="_x0000_s545934"/>
                </a:ext>
                <a:ext uri="{FF2B5EF4-FFF2-40B4-BE49-F238E27FC236}">
                  <a16:creationId xmlns:a16="http://schemas.microsoft.com/office/drawing/2014/main" id="{00000000-0008-0000-0400-00008E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74</xdr:row>
          <xdr:rowOff>76200</xdr:rowOff>
        </xdr:from>
        <xdr:to>
          <xdr:col>2</xdr:col>
          <xdr:colOff>3429000</xdr:colOff>
          <xdr:row>74</xdr:row>
          <xdr:rowOff>333375</xdr:rowOff>
        </xdr:to>
        <xdr:sp macro="" textlink="">
          <xdr:nvSpPr>
            <xdr:cNvPr id="545935" name="Drop Down 143" hidden="1">
              <a:extLst>
                <a:ext uri="{63B3BB69-23CF-44E3-9099-C40C66FF867C}">
                  <a14:compatExt spid="_x0000_s545935"/>
                </a:ext>
                <a:ext uri="{FF2B5EF4-FFF2-40B4-BE49-F238E27FC236}">
                  <a16:creationId xmlns:a16="http://schemas.microsoft.com/office/drawing/2014/main" id="{00000000-0008-0000-0400-00008F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75</xdr:row>
          <xdr:rowOff>76200</xdr:rowOff>
        </xdr:from>
        <xdr:to>
          <xdr:col>2</xdr:col>
          <xdr:colOff>3429000</xdr:colOff>
          <xdr:row>75</xdr:row>
          <xdr:rowOff>333375</xdr:rowOff>
        </xdr:to>
        <xdr:sp macro="" textlink="">
          <xdr:nvSpPr>
            <xdr:cNvPr id="545936" name="Drop Down 144" hidden="1">
              <a:extLst>
                <a:ext uri="{63B3BB69-23CF-44E3-9099-C40C66FF867C}">
                  <a14:compatExt spid="_x0000_s545936"/>
                </a:ext>
                <a:ext uri="{FF2B5EF4-FFF2-40B4-BE49-F238E27FC236}">
                  <a16:creationId xmlns:a16="http://schemas.microsoft.com/office/drawing/2014/main" id="{00000000-0008-0000-0400-000090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77</xdr:row>
          <xdr:rowOff>76200</xdr:rowOff>
        </xdr:from>
        <xdr:to>
          <xdr:col>2</xdr:col>
          <xdr:colOff>3429000</xdr:colOff>
          <xdr:row>77</xdr:row>
          <xdr:rowOff>333375</xdr:rowOff>
        </xdr:to>
        <xdr:sp macro="" textlink="">
          <xdr:nvSpPr>
            <xdr:cNvPr id="545937" name="Drop Down 145" hidden="1">
              <a:extLst>
                <a:ext uri="{63B3BB69-23CF-44E3-9099-C40C66FF867C}">
                  <a14:compatExt spid="_x0000_s545937"/>
                </a:ext>
                <a:ext uri="{FF2B5EF4-FFF2-40B4-BE49-F238E27FC236}">
                  <a16:creationId xmlns:a16="http://schemas.microsoft.com/office/drawing/2014/main" id="{00000000-0008-0000-0400-000091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78</xdr:row>
          <xdr:rowOff>76200</xdr:rowOff>
        </xdr:from>
        <xdr:to>
          <xdr:col>2</xdr:col>
          <xdr:colOff>3429000</xdr:colOff>
          <xdr:row>78</xdr:row>
          <xdr:rowOff>333375</xdr:rowOff>
        </xdr:to>
        <xdr:sp macro="" textlink="">
          <xdr:nvSpPr>
            <xdr:cNvPr id="545938" name="Drop Down 146" hidden="1">
              <a:extLst>
                <a:ext uri="{63B3BB69-23CF-44E3-9099-C40C66FF867C}">
                  <a14:compatExt spid="_x0000_s545938"/>
                </a:ext>
                <a:ext uri="{FF2B5EF4-FFF2-40B4-BE49-F238E27FC236}">
                  <a16:creationId xmlns:a16="http://schemas.microsoft.com/office/drawing/2014/main" id="{00000000-0008-0000-0400-000092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79</xdr:row>
          <xdr:rowOff>76200</xdr:rowOff>
        </xdr:from>
        <xdr:to>
          <xdr:col>2</xdr:col>
          <xdr:colOff>3429000</xdr:colOff>
          <xdr:row>79</xdr:row>
          <xdr:rowOff>333375</xdr:rowOff>
        </xdr:to>
        <xdr:sp macro="" textlink="">
          <xdr:nvSpPr>
            <xdr:cNvPr id="545939" name="Drop Down 147" hidden="1">
              <a:extLst>
                <a:ext uri="{63B3BB69-23CF-44E3-9099-C40C66FF867C}">
                  <a14:compatExt spid="_x0000_s545939"/>
                </a:ext>
                <a:ext uri="{FF2B5EF4-FFF2-40B4-BE49-F238E27FC236}">
                  <a16:creationId xmlns:a16="http://schemas.microsoft.com/office/drawing/2014/main" id="{00000000-0008-0000-0400-000093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80</xdr:row>
          <xdr:rowOff>76200</xdr:rowOff>
        </xdr:from>
        <xdr:to>
          <xdr:col>2</xdr:col>
          <xdr:colOff>3429000</xdr:colOff>
          <xdr:row>80</xdr:row>
          <xdr:rowOff>333375</xdr:rowOff>
        </xdr:to>
        <xdr:sp macro="" textlink="">
          <xdr:nvSpPr>
            <xdr:cNvPr id="545940" name="Drop Down 148" hidden="1">
              <a:extLst>
                <a:ext uri="{63B3BB69-23CF-44E3-9099-C40C66FF867C}">
                  <a14:compatExt spid="_x0000_s545940"/>
                </a:ext>
                <a:ext uri="{FF2B5EF4-FFF2-40B4-BE49-F238E27FC236}">
                  <a16:creationId xmlns:a16="http://schemas.microsoft.com/office/drawing/2014/main" id="{00000000-0008-0000-0400-000094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81</xdr:row>
          <xdr:rowOff>76200</xdr:rowOff>
        </xdr:from>
        <xdr:to>
          <xdr:col>2</xdr:col>
          <xdr:colOff>3429000</xdr:colOff>
          <xdr:row>81</xdr:row>
          <xdr:rowOff>333375</xdr:rowOff>
        </xdr:to>
        <xdr:sp macro="" textlink="">
          <xdr:nvSpPr>
            <xdr:cNvPr id="545941" name="Drop Down 149" hidden="1">
              <a:extLst>
                <a:ext uri="{63B3BB69-23CF-44E3-9099-C40C66FF867C}">
                  <a14:compatExt spid="_x0000_s545941"/>
                </a:ext>
                <a:ext uri="{FF2B5EF4-FFF2-40B4-BE49-F238E27FC236}">
                  <a16:creationId xmlns:a16="http://schemas.microsoft.com/office/drawing/2014/main" id="{00000000-0008-0000-0400-00009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82</xdr:row>
          <xdr:rowOff>76200</xdr:rowOff>
        </xdr:from>
        <xdr:to>
          <xdr:col>2</xdr:col>
          <xdr:colOff>3429000</xdr:colOff>
          <xdr:row>82</xdr:row>
          <xdr:rowOff>333375</xdr:rowOff>
        </xdr:to>
        <xdr:sp macro="" textlink="">
          <xdr:nvSpPr>
            <xdr:cNvPr id="545942" name="Drop Down 150" hidden="1">
              <a:extLst>
                <a:ext uri="{63B3BB69-23CF-44E3-9099-C40C66FF867C}">
                  <a14:compatExt spid="_x0000_s545942"/>
                </a:ext>
                <a:ext uri="{FF2B5EF4-FFF2-40B4-BE49-F238E27FC236}">
                  <a16:creationId xmlns:a16="http://schemas.microsoft.com/office/drawing/2014/main" id="{00000000-0008-0000-0400-00009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84</xdr:row>
          <xdr:rowOff>76200</xdr:rowOff>
        </xdr:from>
        <xdr:to>
          <xdr:col>2</xdr:col>
          <xdr:colOff>3429000</xdr:colOff>
          <xdr:row>84</xdr:row>
          <xdr:rowOff>333375</xdr:rowOff>
        </xdr:to>
        <xdr:sp macro="" textlink="">
          <xdr:nvSpPr>
            <xdr:cNvPr id="545943" name="Drop Down 151" hidden="1">
              <a:extLst>
                <a:ext uri="{63B3BB69-23CF-44E3-9099-C40C66FF867C}">
                  <a14:compatExt spid="_x0000_s545943"/>
                </a:ext>
                <a:ext uri="{FF2B5EF4-FFF2-40B4-BE49-F238E27FC236}">
                  <a16:creationId xmlns:a16="http://schemas.microsoft.com/office/drawing/2014/main" id="{00000000-0008-0000-0400-00009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85</xdr:row>
          <xdr:rowOff>76200</xdr:rowOff>
        </xdr:from>
        <xdr:to>
          <xdr:col>2</xdr:col>
          <xdr:colOff>3429000</xdr:colOff>
          <xdr:row>85</xdr:row>
          <xdr:rowOff>333375</xdr:rowOff>
        </xdr:to>
        <xdr:sp macro="" textlink="">
          <xdr:nvSpPr>
            <xdr:cNvPr id="545944" name="Drop Down 152" hidden="1">
              <a:extLst>
                <a:ext uri="{63B3BB69-23CF-44E3-9099-C40C66FF867C}">
                  <a14:compatExt spid="_x0000_s545944"/>
                </a:ext>
                <a:ext uri="{FF2B5EF4-FFF2-40B4-BE49-F238E27FC236}">
                  <a16:creationId xmlns:a16="http://schemas.microsoft.com/office/drawing/2014/main" id="{00000000-0008-0000-0400-00009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86</xdr:row>
          <xdr:rowOff>76200</xdr:rowOff>
        </xdr:from>
        <xdr:to>
          <xdr:col>2</xdr:col>
          <xdr:colOff>3429000</xdr:colOff>
          <xdr:row>86</xdr:row>
          <xdr:rowOff>333375</xdr:rowOff>
        </xdr:to>
        <xdr:sp macro="" textlink="">
          <xdr:nvSpPr>
            <xdr:cNvPr id="545945" name="Drop Down 153" hidden="1">
              <a:extLst>
                <a:ext uri="{63B3BB69-23CF-44E3-9099-C40C66FF867C}">
                  <a14:compatExt spid="_x0000_s545945"/>
                </a:ext>
                <a:ext uri="{FF2B5EF4-FFF2-40B4-BE49-F238E27FC236}">
                  <a16:creationId xmlns:a16="http://schemas.microsoft.com/office/drawing/2014/main" id="{00000000-0008-0000-0400-000099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87</xdr:row>
          <xdr:rowOff>76200</xdr:rowOff>
        </xdr:from>
        <xdr:to>
          <xdr:col>2</xdr:col>
          <xdr:colOff>3429000</xdr:colOff>
          <xdr:row>87</xdr:row>
          <xdr:rowOff>333375</xdr:rowOff>
        </xdr:to>
        <xdr:sp macro="" textlink="">
          <xdr:nvSpPr>
            <xdr:cNvPr id="545946" name="Drop Down 154" hidden="1">
              <a:extLst>
                <a:ext uri="{63B3BB69-23CF-44E3-9099-C40C66FF867C}">
                  <a14:compatExt spid="_x0000_s545946"/>
                </a:ext>
                <a:ext uri="{FF2B5EF4-FFF2-40B4-BE49-F238E27FC236}">
                  <a16:creationId xmlns:a16="http://schemas.microsoft.com/office/drawing/2014/main" id="{00000000-0008-0000-0400-00009A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88</xdr:row>
          <xdr:rowOff>76200</xdr:rowOff>
        </xdr:from>
        <xdr:to>
          <xdr:col>2</xdr:col>
          <xdr:colOff>3429000</xdr:colOff>
          <xdr:row>88</xdr:row>
          <xdr:rowOff>333375</xdr:rowOff>
        </xdr:to>
        <xdr:sp macro="" textlink="">
          <xdr:nvSpPr>
            <xdr:cNvPr id="545947" name="Drop Down 155" hidden="1">
              <a:extLst>
                <a:ext uri="{63B3BB69-23CF-44E3-9099-C40C66FF867C}">
                  <a14:compatExt spid="_x0000_s545947"/>
                </a:ext>
                <a:ext uri="{FF2B5EF4-FFF2-40B4-BE49-F238E27FC236}">
                  <a16:creationId xmlns:a16="http://schemas.microsoft.com/office/drawing/2014/main" id="{00000000-0008-0000-0400-00009B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89</xdr:row>
          <xdr:rowOff>76200</xdr:rowOff>
        </xdr:from>
        <xdr:to>
          <xdr:col>2</xdr:col>
          <xdr:colOff>3429000</xdr:colOff>
          <xdr:row>89</xdr:row>
          <xdr:rowOff>333375</xdr:rowOff>
        </xdr:to>
        <xdr:sp macro="" textlink="">
          <xdr:nvSpPr>
            <xdr:cNvPr id="545948" name="Drop Down 156" hidden="1">
              <a:extLst>
                <a:ext uri="{63B3BB69-23CF-44E3-9099-C40C66FF867C}">
                  <a14:compatExt spid="_x0000_s545948"/>
                </a:ext>
                <a:ext uri="{FF2B5EF4-FFF2-40B4-BE49-F238E27FC236}">
                  <a16:creationId xmlns:a16="http://schemas.microsoft.com/office/drawing/2014/main" id="{00000000-0008-0000-0400-00009C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91</xdr:row>
          <xdr:rowOff>76200</xdr:rowOff>
        </xdr:from>
        <xdr:to>
          <xdr:col>2</xdr:col>
          <xdr:colOff>3429000</xdr:colOff>
          <xdr:row>91</xdr:row>
          <xdr:rowOff>333375</xdr:rowOff>
        </xdr:to>
        <xdr:sp macro="" textlink="">
          <xdr:nvSpPr>
            <xdr:cNvPr id="545949" name="Drop Down 157" hidden="1">
              <a:extLst>
                <a:ext uri="{63B3BB69-23CF-44E3-9099-C40C66FF867C}">
                  <a14:compatExt spid="_x0000_s545949"/>
                </a:ext>
                <a:ext uri="{FF2B5EF4-FFF2-40B4-BE49-F238E27FC236}">
                  <a16:creationId xmlns:a16="http://schemas.microsoft.com/office/drawing/2014/main" id="{00000000-0008-0000-0400-00009D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92</xdr:row>
          <xdr:rowOff>76200</xdr:rowOff>
        </xdr:from>
        <xdr:to>
          <xdr:col>2</xdr:col>
          <xdr:colOff>3429000</xdr:colOff>
          <xdr:row>92</xdr:row>
          <xdr:rowOff>333375</xdr:rowOff>
        </xdr:to>
        <xdr:sp macro="" textlink="">
          <xdr:nvSpPr>
            <xdr:cNvPr id="545950" name="Drop Down 158" hidden="1">
              <a:extLst>
                <a:ext uri="{63B3BB69-23CF-44E3-9099-C40C66FF867C}">
                  <a14:compatExt spid="_x0000_s545950"/>
                </a:ext>
                <a:ext uri="{FF2B5EF4-FFF2-40B4-BE49-F238E27FC236}">
                  <a16:creationId xmlns:a16="http://schemas.microsoft.com/office/drawing/2014/main" id="{00000000-0008-0000-0400-00009E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93</xdr:row>
          <xdr:rowOff>76200</xdr:rowOff>
        </xdr:from>
        <xdr:to>
          <xdr:col>2</xdr:col>
          <xdr:colOff>3429000</xdr:colOff>
          <xdr:row>93</xdr:row>
          <xdr:rowOff>333375</xdr:rowOff>
        </xdr:to>
        <xdr:sp macro="" textlink="">
          <xdr:nvSpPr>
            <xdr:cNvPr id="545951" name="Drop Down 159" hidden="1">
              <a:extLst>
                <a:ext uri="{63B3BB69-23CF-44E3-9099-C40C66FF867C}">
                  <a14:compatExt spid="_x0000_s545951"/>
                </a:ext>
                <a:ext uri="{FF2B5EF4-FFF2-40B4-BE49-F238E27FC236}">
                  <a16:creationId xmlns:a16="http://schemas.microsoft.com/office/drawing/2014/main" id="{00000000-0008-0000-0400-00009F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94</xdr:row>
          <xdr:rowOff>76200</xdr:rowOff>
        </xdr:from>
        <xdr:to>
          <xdr:col>2</xdr:col>
          <xdr:colOff>3429000</xdr:colOff>
          <xdr:row>94</xdr:row>
          <xdr:rowOff>333375</xdr:rowOff>
        </xdr:to>
        <xdr:sp macro="" textlink="">
          <xdr:nvSpPr>
            <xdr:cNvPr id="545952" name="Drop Down 160" hidden="1">
              <a:extLst>
                <a:ext uri="{63B3BB69-23CF-44E3-9099-C40C66FF867C}">
                  <a14:compatExt spid="_x0000_s545952"/>
                </a:ext>
                <a:ext uri="{FF2B5EF4-FFF2-40B4-BE49-F238E27FC236}">
                  <a16:creationId xmlns:a16="http://schemas.microsoft.com/office/drawing/2014/main" id="{00000000-0008-0000-0400-0000A0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95</xdr:row>
          <xdr:rowOff>76200</xdr:rowOff>
        </xdr:from>
        <xdr:to>
          <xdr:col>2</xdr:col>
          <xdr:colOff>3429000</xdr:colOff>
          <xdr:row>95</xdr:row>
          <xdr:rowOff>333375</xdr:rowOff>
        </xdr:to>
        <xdr:sp macro="" textlink="">
          <xdr:nvSpPr>
            <xdr:cNvPr id="545953" name="Drop Down 161" hidden="1">
              <a:extLst>
                <a:ext uri="{63B3BB69-23CF-44E3-9099-C40C66FF867C}">
                  <a14:compatExt spid="_x0000_s545953"/>
                </a:ext>
                <a:ext uri="{FF2B5EF4-FFF2-40B4-BE49-F238E27FC236}">
                  <a16:creationId xmlns:a16="http://schemas.microsoft.com/office/drawing/2014/main" id="{00000000-0008-0000-0400-0000A1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96</xdr:row>
          <xdr:rowOff>76200</xdr:rowOff>
        </xdr:from>
        <xdr:to>
          <xdr:col>2</xdr:col>
          <xdr:colOff>3429000</xdr:colOff>
          <xdr:row>96</xdr:row>
          <xdr:rowOff>333375</xdr:rowOff>
        </xdr:to>
        <xdr:sp macro="" textlink="">
          <xdr:nvSpPr>
            <xdr:cNvPr id="545954" name="Drop Down 162" hidden="1">
              <a:extLst>
                <a:ext uri="{63B3BB69-23CF-44E3-9099-C40C66FF867C}">
                  <a14:compatExt spid="_x0000_s545954"/>
                </a:ext>
                <a:ext uri="{FF2B5EF4-FFF2-40B4-BE49-F238E27FC236}">
                  <a16:creationId xmlns:a16="http://schemas.microsoft.com/office/drawing/2014/main" id="{00000000-0008-0000-0400-0000A2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98</xdr:row>
          <xdr:rowOff>76200</xdr:rowOff>
        </xdr:from>
        <xdr:to>
          <xdr:col>2</xdr:col>
          <xdr:colOff>3429000</xdr:colOff>
          <xdr:row>98</xdr:row>
          <xdr:rowOff>333375</xdr:rowOff>
        </xdr:to>
        <xdr:sp macro="" textlink="">
          <xdr:nvSpPr>
            <xdr:cNvPr id="545955" name="Drop Down 163" hidden="1">
              <a:extLst>
                <a:ext uri="{63B3BB69-23CF-44E3-9099-C40C66FF867C}">
                  <a14:compatExt spid="_x0000_s545955"/>
                </a:ext>
                <a:ext uri="{FF2B5EF4-FFF2-40B4-BE49-F238E27FC236}">
                  <a16:creationId xmlns:a16="http://schemas.microsoft.com/office/drawing/2014/main" id="{00000000-0008-0000-0400-0000A3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99</xdr:row>
          <xdr:rowOff>76200</xdr:rowOff>
        </xdr:from>
        <xdr:to>
          <xdr:col>2</xdr:col>
          <xdr:colOff>3429000</xdr:colOff>
          <xdr:row>99</xdr:row>
          <xdr:rowOff>333375</xdr:rowOff>
        </xdr:to>
        <xdr:sp macro="" textlink="">
          <xdr:nvSpPr>
            <xdr:cNvPr id="545956" name="Drop Down 164" hidden="1">
              <a:extLst>
                <a:ext uri="{63B3BB69-23CF-44E3-9099-C40C66FF867C}">
                  <a14:compatExt spid="_x0000_s545956"/>
                </a:ext>
                <a:ext uri="{FF2B5EF4-FFF2-40B4-BE49-F238E27FC236}">
                  <a16:creationId xmlns:a16="http://schemas.microsoft.com/office/drawing/2014/main" id="{00000000-0008-0000-0400-0000A4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100</xdr:row>
          <xdr:rowOff>76200</xdr:rowOff>
        </xdr:from>
        <xdr:to>
          <xdr:col>2</xdr:col>
          <xdr:colOff>3429000</xdr:colOff>
          <xdr:row>100</xdr:row>
          <xdr:rowOff>333375</xdr:rowOff>
        </xdr:to>
        <xdr:sp macro="" textlink="">
          <xdr:nvSpPr>
            <xdr:cNvPr id="545957" name="Drop Down 165" hidden="1">
              <a:extLst>
                <a:ext uri="{63B3BB69-23CF-44E3-9099-C40C66FF867C}">
                  <a14:compatExt spid="_x0000_s545957"/>
                </a:ext>
                <a:ext uri="{FF2B5EF4-FFF2-40B4-BE49-F238E27FC236}">
                  <a16:creationId xmlns:a16="http://schemas.microsoft.com/office/drawing/2014/main" id="{00000000-0008-0000-0400-0000A5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101</xdr:row>
          <xdr:rowOff>76200</xdr:rowOff>
        </xdr:from>
        <xdr:to>
          <xdr:col>2</xdr:col>
          <xdr:colOff>3429000</xdr:colOff>
          <xdr:row>101</xdr:row>
          <xdr:rowOff>333375</xdr:rowOff>
        </xdr:to>
        <xdr:sp macro="" textlink="">
          <xdr:nvSpPr>
            <xdr:cNvPr id="545958" name="Drop Down 166" hidden="1">
              <a:extLst>
                <a:ext uri="{63B3BB69-23CF-44E3-9099-C40C66FF867C}">
                  <a14:compatExt spid="_x0000_s545958"/>
                </a:ext>
                <a:ext uri="{FF2B5EF4-FFF2-40B4-BE49-F238E27FC236}">
                  <a16:creationId xmlns:a16="http://schemas.microsoft.com/office/drawing/2014/main" id="{00000000-0008-0000-0400-0000A6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102</xdr:row>
          <xdr:rowOff>76200</xdr:rowOff>
        </xdr:from>
        <xdr:to>
          <xdr:col>2</xdr:col>
          <xdr:colOff>3429000</xdr:colOff>
          <xdr:row>102</xdr:row>
          <xdr:rowOff>333375</xdr:rowOff>
        </xdr:to>
        <xdr:sp macro="" textlink="">
          <xdr:nvSpPr>
            <xdr:cNvPr id="545959" name="Drop Down 167" hidden="1">
              <a:extLst>
                <a:ext uri="{63B3BB69-23CF-44E3-9099-C40C66FF867C}">
                  <a14:compatExt spid="_x0000_s545959"/>
                </a:ext>
                <a:ext uri="{FF2B5EF4-FFF2-40B4-BE49-F238E27FC236}">
                  <a16:creationId xmlns:a16="http://schemas.microsoft.com/office/drawing/2014/main" id="{00000000-0008-0000-0400-0000A7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103</xdr:row>
          <xdr:rowOff>76200</xdr:rowOff>
        </xdr:from>
        <xdr:to>
          <xdr:col>2</xdr:col>
          <xdr:colOff>3429000</xdr:colOff>
          <xdr:row>103</xdr:row>
          <xdr:rowOff>333375</xdr:rowOff>
        </xdr:to>
        <xdr:sp macro="" textlink="">
          <xdr:nvSpPr>
            <xdr:cNvPr id="545960" name="Drop Down 168" hidden="1">
              <a:extLst>
                <a:ext uri="{63B3BB69-23CF-44E3-9099-C40C66FF867C}">
                  <a14:compatExt spid="_x0000_s545960"/>
                </a:ext>
                <a:ext uri="{FF2B5EF4-FFF2-40B4-BE49-F238E27FC236}">
                  <a16:creationId xmlns:a16="http://schemas.microsoft.com/office/drawing/2014/main" id="{00000000-0008-0000-0400-0000A85408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3381375</xdr:colOff>
          <xdr:row>108</xdr:row>
          <xdr:rowOff>9525</xdr:rowOff>
        </xdr:from>
        <xdr:to>
          <xdr:col>2</xdr:col>
          <xdr:colOff>38100</xdr:colOff>
          <xdr:row>111</xdr:row>
          <xdr:rowOff>76200</xdr:rowOff>
        </xdr:to>
        <xdr:sp macro="" textlink="">
          <xdr:nvSpPr>
            <xdr:cNvPr id="545962" name="Button 170" hidden="1">
              <a:extLst>
                <a:ext uri="{63B3BB69-23CF-44E3-9099-C40C66FF867C}">
                  <a14:compatExt spid="_x0000_s545962"/>
                </a:ext>
                <a:ext uri="{FF2B5EF4-FFF2-40B4-BE49-F238E27FC236}">
                  <a16:creationId xmlns:a16="http://schemas.microsoft.com/office/drawing/2014/main" id="{00000000-0008-0000-0400-0000AA5408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FF0000"/>
                  </a:solidFill>
                  <a:latin typeface="Arial"/>
                  <a:cs typeface="Arial"/>
                </a:rPr>
                <a:t>Validation de vos réponses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257175</xdr:colOff>
          <xdr:row>0</xdr:row>
          <xdr:rowOff>76200</xdr:rowOff>
        </xdr:from>
        <xdr:to>
          <xdr:col>2</xdr:col>
          <xdr:colOff>2352675</xdr:colOff>
          <xdr:row>0</xdr:row>
          <xdr:rowOff>542925</xdr:rowOff>
        </xdr:to>
        <xdr:sp macro="" textlink="">
          <xdr:nvSpPr>
            <xdr:cNvPr id="545964" name="Button 172" hidden="1">
              <a:extLst>
                <a:ext uri="{63B3BB69-23CF-44E3-9099-C40C66FF867C}">
                  <a14:compatExt spid="_x0000_s545964"/>
                </a:ext>
                <a:ext uri="{FF2B5EF4-FFF2-40B4-BE49-F238E27FC236}">
                  <a16:creationId xmlns:a16="http://schemas.microsoft.com/office/drawing/2014/main" id="{00000000-0008-0000-0400-0000AC5408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Retour Accueil</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123825</xdr:colOff>
          <xdr:row>10</xdr:row>
          <xdr:rowOff>95250</xdr:rowOff>
        </xdr:from>
        <xdr:to>
          <xdr:col>11</xdr:col>
          <xdr:colOff>419100</xdr:colOff>
          <xdr:row>10</xdr:row>
          <xdr:rowOff>333375</xdr:rowOff>
        </xdr:to>
        <xdr:sp macro="" textlink="">
          <xdr:nvSpPr>
            <xdr:cNvPr id="647170" name="Drop Down 2" hidden="1">
              <a:extLst>
                <a:ext uri="{63B3BB69-23CF-44E3-9099-C40C66FF867C}">
                  <a14:compatExt spid="_x0000_s647170"/>
                </a:ext>
                <a:ext uri="{FF2B5EF4-FFF2-40B4-BE49-F238E27FC236}">
                  <a16:creationId xmlns:a16="http://schemas.microsoft.com/office/drawing/2014/main" id="{00000000-0008-0000-0500-000002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11</xdr:row>
          <xdr:rowOff>104775</xdr:rowOff>
        </xdr:from>
        <xdr:to>
          <xdr:col>11</xdr:col>
          <xdr:colOff>419100</xdr:colOff>
          <xdr:row>11</xdr:row>
          <xdr:rowOff>352425</xdr:rowOff>
        </xdr:to>
        <xdr:sp macro="" textlink="">
          <xdr:nvSpPr>
            <xdr:cNvPr id="647171" name="Drop Down 3" hidden="1">
              <a:extLst>
                <a:ext uri="{63B3BB69-23CF-44E3-9099-C40C66FF867C}">
                  <a14:compatExt spid="_x0000_s647171"/>
                </a:ext>
                <a:ext uri="{FF2B5EF4-FFF2-40B4-BE49-F238E27FC236}">
                  <a16:creationId xmlns:a16="http://schemas.microsoft.com/office/drawing/2014/main" id="{00000000-0008-0000-0500-000003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12</xdr:row>
          <xdr:rowOff>95250</xdr:rowOff>
        </xdr:from>
        <xdr:to>
          <xdr:col>11</xdr:col>
          <xdr:colOff>419100</xdr:colOff>
          <xdr:row>12</xdr:row>
          <xdr:rowOff>333375</xdr:rowOff>
        </xdr:to>
        <xdr:sp macro="" textlink="">
          <xdr:nvSpPr>
            <xdr:cNvPr id="647172" name="Drop Down 4" hidden="1">
              <a:extLst>
                <a:ext uri="{63B3BB69-23CF-44E3-9099-C40C66FF867C}">
                  <a14:compatExt spid="_x0000_s647172"/>
                </a:ext>
                <a:ext uri="{FF2B5EF4-FFF2-40B4-BE49-F238E27FC236}">
                  <a16:creationId xmlns:a16="http://schemas.microsoft.com/office/drawing/2014/main" id="{00000000-0008-0000-0500-000004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104775</xdr:rowOff>
        </xdr:from>
        <xdr:to>
          <xdr:col>11</xdr:col>
          <xdr:colOff>419100</xdr:colOff>
          <xdr:row>15</xdr:row>
          <xdr:rowOff>352425</xdr:rowOff>
        </xdr:to>
        <xdr:sp macro="" textlink="">
          <xdr:nvSpPr>
            <xdr:cNvPr id="647175" name="Drop Down 7" hidden="1">
              <a:extLst>
                <a:ext uri="{63B3BB69-23CF-44E3-9099-C40C66FF867C}">
                  <a14:compatExt spid="_x0000_s647175"/>
                </a:ext>
                <a:ext uri="{FF2B5EF4-FFF2-40B4-BE49-F238E27FC236}">
                  <a16:creationId xmlns:a16="http://schemas.microsoft.com/office/drawing/2014/main" id="{00000000-0008-0000-0500-000007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14</xdr:row>
          <xdr:rowOff>114300</xdr:rowOff>
        </xdr:from>
        <xdr:to>
          <xdr:col>11</xdr:col>
          <xdr:colOff>419100</xdr:colOff>
          <xdr:row>14</xdr:row>
          <xdr:rowOff>352425</xdr:rowOff>
        </xdr:to>
        <xdr:sp macro="" textlink="">
          <xdr:nvSpPr>
            <xdr:cNvPr id="647174" name="Drop Down 6" hidden="1">
              <a:extLst>
                <a:ext uri="{63B3BB69-23CF-44E3-9099-C40C66FF867C}">
                  <a14:compatExt spid="_x0000_s647174"/>
                </a:ext>
                <a:ext uri="{FF2B5EF4-FFF2-40B4-BE49-F238E27FC236}">
                  <a16:creationId xmlns:a16="http://schemas.microsoft.com/office/drawing/2014/main" id="{00000000-0008-0000-0500-000006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104775</xdr:rowOff>
        </xdr:from>
        <xdr:to>
          <xdr:col>11</xdr:col>
          <xdr:colOff>419100</xdr:colOff>
          <xdr:row>13</xdr:row>
          <xdr:rowOff>352425</xdr:rowOff>
        </xdr:to>
        <xdr:sp macro="" textlink="">
          <xdr:nvSpPr>
            <xdr:cNvPr id="647173" name="Drop Down 5" hidden="1">
              <a:extLst>
                <a:ext uri="{63B3BB69-23CF-44E3-9099-C40C66FF867C}">
                  <a14:compatExt spid="_x0000_s647173"/>
                </a:ext>
                <a:ext uri="{FF2B5EF4-FFF2-40B4-BE49-F238E27FC236}">
                  <a16:creationId xmlns:a16="http://schemas.microsoft.com/office/drawing/2014/main" id="{00000000-0008-0000-0500-000005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21</xdr:row>
          <xdr:rowOff>104775</xdr:rowOff>
        </xdr:from>
        <xdr:to>
          <xdr:col>11</xdr:col>
          <xdr:colOff>419100</xdr:colOff>
          <xdr:row>21</xdr:row>
          <xdr:rowOff>352425</xdr:rowOff>
        </xdr:to>
        <xdr:sp macro="" textlink="">
          <xdr:nvSpPr>
            <xdr:cNvPr id="647181" name="Drop Down 13" hidden="1">
              <a:extLst>
                <a:ext uri="{63B3BB69-23CF-44E3-9099-C40C66FF867C}">
                  <a14:compatExt spid="_x0000_s647181"/>
                </a:ext>
                <a:ext uri="{FF2B5EF4-FFF2-40B4-BE49-F238E27FC236}">
                  <a16:creationId xmlns:a16="http://schemas.microsoft.com/office/drawing/2014/main" id="{00000000-0008-0000-0500-00000D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20</xdr:row>
          <xdr:rowOff>114300</xdr:rowOff>
        </xdr:from>
        <xdr:to>
          <xdr:col>11</xdr:col>
          <xdr:colOff>419100</xdr:colOff>
          <xdr:row>20</xdr:row>
          <xdr:rowOff>352425</xdr:rowOff>
        </xdr:to>
        <xdr:sp macro="" textlink="">
          <xdr:nvSpPr>
            <xdr:cNvPr id="647180" name="Drop Down 12" hidden="1">
              <a:extLst>
                <a:ext uri="{63B3BB69-23CF-44E3-9099-C40C66FF867C}">
                  <a14:compatExt spid="_x0000_s647180"/>
                </a:ext>
                <a:ext uri="{FF2B5EF4-FFF2-40B4-BE49-F238E27FC236}">
                  <a16:creationId xmlns:a16="http://schemas.microsoft.com/office/drawing/2014/main" id="{00000000-0008-0000-0500-00000C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19</xdr:row>
          <xdr:rowOff>104775</xdr:rowOff>
        </xdr:from>
        <xdr:to>
          <xdr:col>11</xdr:col>
          <xdr:colOff>419100</xdr:colOff>
          <xdr:row>19</xdr:row>
          <xdr:rowOff>352425</xdr:rowOff>
        </xdr:to>
        <xdr:sp macro="" textlink="">
          <xdr:nvSpPr>
            <xdr:cNvPr id="647179" name="Drop Down 11" hidden="1">
              <a:extLst>
                <a:ext uri="{63B3BB69-23CF-44E3-9099-C40C66FF867C}">
                  <a14:compatExt spid="_x0000_s647179"/>
                </a:ext>
                <a:ext uri="{FF2B5EF4-FFF2-40B4-BE49-F238E27FC236}">
                  <a16:creationId xmlns:a16="http://schemas.microsoft.com/office/drawing/2014/main" id="{00000000-0008-0000-0500-00000B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18</xdr:row>
          <xdr:rowOff>95250</xdr:rowOff>
        </xdr:from>
        <xdr:to>
          <xdr:col>11</xdr:col>
          <xdr:colOff>419100</xdr:colOff>
          <xdr:row>18</xdr:row>
          <xdr:rowOff>333375</xdr:rowOff>
        </xdr:to>
        <xdr:sp macro="" textlink="">
          <xdr:nvSpPr>
            <xdr:cNvPr id="647178" name="Drop Down 10" hidden="1">
              <a:extLst>
                <a:ext uri="{63B3BB69-23CF-44E3-9099-C40C66FF867C}">
                  <a14:compatExt spid="_x0000_s647178"/>
                </a:ext>
                <a:ext uri="{FF2B5EF4-FFF2-40B4-BE49-F238E27FC236}">
                  <a16:creationId xmlns:a16="http://schemas.microsoft.com/office/drawing/2014/main" id="{00000000-0008-0000-0500-00000A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17</xdr:row>
          <xdr:rowOff>104775</xdr:rowOff>
        </xdr:from>
        <xdr:to>
          <xdr:col>11</xdr:col>
          <xdr:colOff>419100</xdr:colOff>
          <xdr:row>17</xdr:row>
          <xdr:rowOff>352425</xdr:rowOff>
        </xdr:to>
        <xdr:sp macro="" textlink="">
          <xdr:nvSpPr>
            <xdr:cNvPr id="647177" name="Drop Down 9" hidden="1">
              <a:extLst>
                <a:ext uri="{63B3BB69-23CF-44E3-9099-C40C66FF867C}">
                  <a14:compatExt spid="_x0000_s647177"/>
                </a:ext>
                <a:ext uri="{FF2B5EF4-FFF2-40B4-BE49-F238E27FC236}">
                  <a16:creationId xmlns:a16="http://schemas.microsoft.com/office/drawing/2014/main" id="{00000000-0008-0000-0500-000009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16</xdr:row>
          <xdr:rowOff>95250</xdr:rowOff>
        </xdr:from>
        <xdr:to>
          <xdr:col>11</xdr:col>
          <xdr:colOff>419100</xdr:colOff>
          <xdr:row>16</xdr:row>
          <xdr:rowOff>333375</xdr:rowOff>
        </xdr:to>
        <xdr:sp macro="" textlink="">
          <xdr:nvSpPr>
            <xdr:cNvPr id="647176" name="Drop Down 8" hidden="1">
              <a:extLst>
                <a:ext uri="{63B3BB69-23CF-44E3-9099-C40C66FF867C}">
                  <a14:compatExt spid="_x0000_s647176"/>
                </a:ext>
                <a:ext uri="{FF2B5EF4-FFF2-40B4-BE49-F238E27FC236}">
                  <a16:creationId xmlns:a16="http://schemas.microsoft.com/office/drawing/2014/main" id="{00000000-0008-0000-0500-000008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22</xdr:row>
          <xdr:rowOff>95250</xdr:rowOff>
        </xdr:from>
        <xdr:to>
          <xdr:col>11</xdr:col>
          <xdr:colOff>419100</xdr:colOff>
          <xdr:row>22</xdr:row>
          <xdr:rowOff>333375</xdr:rowOff>
        </xdr:to>
        <xdr:sp macro="" textlink="">
          <xdr:nvSpPr>
            <xdr:cNvPr id="647182" name="Drop Down 14" hidden="1">
              <a:extLst>
                <a:ext uri="{63B3BB69-23CF-44E3-9099-C40C66FF867C}">
                  <a14:compatExt spid="_x0000_s647182"/>
                </a:ext>
                <a:ext uri="{FF2B5EF4-FFF2-40B4-BE49-F238E27FC236}">
                  <a16:creationId xmlns:a16="http://schemas.microsoft.com/office/drawing/2014/main" id="{00000000-0008-0000-0500-00000E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23</xdr:row>
          <xdr:rowOff>85725</xdr:rowOff>
        </xdr:from>
        <xdr:to>
          <xdr:col>11</xdr:col>
          <xdr:colOff>419100</xdr:colOff>
          <xdr:row>23</xdr:row>
          <xdr:rowOff>323850</xdr:rowOff>
        </xdr:to>
        <xdr:sp macro="" textlink="">
          <xdr:nvSpPr>
            <xdr:cNvPr id="647183" name="Drop Down 15" hidden="1">
              <a:extLst>
                <a:ext uri="{63B3BB69-23CF-44E3-9099-C40C66FF867C}">
                  <a14:compatExt spid="_x0000_s647183"/>
                </a:ext>
                <a:ext uri="{FF2B5EF4-FFF2-40B4-BE49-F238E27FC236}">
                  <a16:creationId xmlns:a16="http://schemas.microsoft.com/office/drawing/2014/main" id="{00000000-0008-0000-0500-00000FE0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695325</xdr:colOff>
          <xdr:row>2</xdr:row>
          <xdr:rowOff>57150</xdr:rowOff>
        </xdr:from>
        <xdr:to>
          <xdr:col>10</xdr:col>
          <xdr:colOff>695325</xdr:colOff>
          <xdr:row>4</xdr:row>
          <xdr:rowOff>114300</xdr:rowOff>
        </xdr:to>
        <xdr:sp macro="" textlink="">
          <xdr:nvSpPr>
            <xdr:cNvPr id="647185" name="Button 172" hidden="1">
              <a:extLst>
                <a:ext uri="{63B3BB69-23CF-44E3-9099-C40C66FF867C}">
                  <a14:compatExt spid="_x0000_s647185"/>
                </a:ext>
                <a:ext uri="{FF2B5EF4-FFF2-40B4-BE49-F238E27FC236}">
                  <a16:creationId xmlns:a16="http://schemas.microsoft.com/office/drawing/2014/main" id="{00000000-0008-0000-0500-000011E0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Retour Accueil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695325</xdr:colOff>
          <xdr:row>7</xdr:row>
          <xdr:rowOff>57150</xdr:rowOff>
        </xdr:from>
        <xdr:to>
          <xdr:col>15</xdr:col>
          <xdr:colOff>695325</xdr:colOff>
          <xdr:row>9</xdr:row>
          <xdr:rowOff>114300</xdr:rowOff>
        </xdr:to>
        <xdr:sp macro="" textlink="">
          <xdr:nvSpPr>
            <xdr:cNvPr id="647186" name="Button 172" hidden="1">
              <a:extLst>
                <a:ext uri="{63B3BB69-23CF-44E3-9099-C40C66FF867C}">
                  <a14:compatExt spid="_x0000_s647186"/>
                </a:ext>
                <a:ext uri="{FF2B5EF4-FFF2-40B4-BE49-F238E27FC236}">
                  <a16:creationId xmlns:a16="http://schemas.microsoft.com/office/drawing/2014/main" id="{00000000-0008-0000-0500-000012E009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fr-CH" sz="1200" b="1" i="0" u="none" strike="noStrike" baseline="0">
                  <a:solidFill>
                    <a:srgbClr val="0000FF"/>
                  </a:solidFill>
                  <a:latin typeface="Arial"/>
                  <a:cs typeface="Arial"/>
                </a:rPr>
                <a:t>Mise à zéro</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absoluteAnchor>
    <xdr:pos x="0" y="0"/>
    <xdr:ext cx="9115425" cy="5654084"/>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mc:AlternateContent xmlns:mc="http://schemas.openxmlformats.org/markup-compatibility/2006">
    <mc:Choice xmlns:a14="http://schemas.microsoft.com/office/drawing/2010/main" Requires="a14">
      <xdr:twoCellAnchor>
        <xdr:from>
          <xdr:col>1</xdr:col>
          <xdr:colOff>447675</xdr:colOff>
          <xdr:row>0</xdr:row>
          <xdr:rowOff>76200</xdr:rowOff>
        </xdr:from>
        <xdr:to>
          <xdr:col>3</xdr:col>
          <xdr:colOff>66675</xdr:colOff>
          <xdr:row>3</xdr:row>
          <xdr:rowOff>114300</xdr:rowOff>
        </xdr:to>
        <xdr:sp macro="" textlink="">
          <xdr:nvSpPr>
            <xdr:cNvPr id="546817" name="Button 5" hidden="1">
              <a:extLst>
                <a:ext uri="{63B3BB69-23CF-44E3-9099-C40C66FF867C}">
                  <a14:compatExt spid="_x0000_s546817"/>
                </a:ext>
                <a:ext uri="{FF2B5EF4-FFF2-40B4-BE49-F238E27FC236}">
                  <a16:creationId xmlns:a16="http://schemas.microsoft.com/office/drawing/2014/main" id="{00000000-0008-0000-0600-0000015808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1" i="0" u="none" strike="noStrike" baseline="0">
                  <a:solidFill>
                    <a:srgbClr val="FF0000"/>
                  </a:solidFill>
                  <a:latin typeface="Arial"/>
                  <a:cs typeface="Arial"/>
                </a:rPr>
                <a:t>Imprimer</a:t>
              </a:r>
            </a:p>
          </xdr:txBody>
        </xdr:sp>
        <xdr:clientData fPrintsWithSheet="0"/>
      </xdr:twoCellAnchor>
    </mc:Choice>
    <mc:Fallback/>
  </mc:AlternateContent>
</xdr:wsDr>
</file>

<file path=xl/drawings/drawing8.xml><?xml version="1.0" encoding="utf-8"?>
<c:userShapes xmlns:c="http://schemas.openxmlformats.org/drawingml/2006/chart">
  <cdr:relSizeAnchor xmlns:cdr="http://schemas.openxmlformats.org/drawingml/2006/chartDrawing">
    <cdr:from>
      <cdr:x>0</cdr:x>
      <cdr:y>0</cdr:y>
    </cdr:from>
    <cdr:to>
      <cdr:x>0.00267</cdr:x>
      <cdr:y>0.00431</cdr:y>
    </cdr:to>
    <cdr:pic>
      <cdr:nvPicPr>
        <cdr:cNvPr id="8" name="chart">
          <a:extLst xmlns:a="http://schemas.openxmlformats.org/drawingml/2006/main">
            <a:ext uri="{FF2B5EF4-FFF2-40B4-BE49-F238E27FC236}">
              <a16:creationId xmlns:a16="http://schemas.microsoft.com/office/drawing/2014/main" id="{814CEAD3-CFB7-4AA4-9082-01F0F08D0E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0.00267</cdr:x>
      <cdr:y>0.00431</cdr:y>
    </cdr:to>
    <cdr:pic>
      <cdr:nvPicPr>
        <cdr:cNvPr id="9" name="chart">
          <a:extLst xmlns:a="http://schemas.openxmlformats.org/drawingml/2006/main">
            <a:ext uri="{FF2B5EF4-FFF2-40B4-BE49-F238E27FC236}">
              <a16:creationId xmlns:a16="http://schemas.microsoft.com/office/drawing/2014/main" id="{7F09B7F3-5C77-4702-9F94-0996630316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0.00267</cdr:x>
      <cdr:y>0.00431</cdr:y>
    </cdr:to>
    <cdr:pic>
      <cdr:nvPicPr>
        <cdr:cNvPr id="11" name="chart">
          <a:extLst xmlns:a="http://schemas.openxmlformats.org/drawingml/2006/main">
            <a:ext uri="{FF2B5EF4-FFF2-40B4-BE49-F238E27FC236}">
              <a16:creationId xmlns:a16="http://schemas.microsoft.com/office/drawing/2014/main" id="{FC1D7DD3-2930-4A68-BE1A-213FBC2F165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0.07656</cdr:x>
      <cdr:y>0.59034</cdr:y>
    </cdr:from>
    <cdr:to>
      <cdr:x>0.13494</cdr:x>
      <cdr:y>0.59034</cdr:y>
    </cdr:to>
    <cdr:cxnSp macro="">
      <cdr:nvCxnSpPr>
        <cdr:cNvPr id="3" name="Connecteur droit 2">
          <a:extLst xmlns:a="http://schemas.openxmlformats.org/drawingml/2006/main">
            <a:ext uri="{FF2B5EF4-FFF2-40B4-BE49-F238E27FC236}">
              <a16:creationId xmlns:a16="http://schemas.microsoft.com/office/drawing/2014/main" id="{50B78691-B40E-4B8B-BA8C-FAC414B3DE26}"/>
            </a:ext>
          </a:extLst>
        </cdr:cNvPr>
        <cdr:cNvCxnSpPr/>
      </cdr:nvCxnSpPr>
      <cdr:spPr>
        <a:xfrm xmlns:a="http://schemas.openxmlformats.org/drawingml/2006/main">
          <a:off x="700090" y="3336331"/>
          <a:ext cx="533827"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0.13626</cdr:x>
      <cdr:y>0.59763</cdr:y>
    </cdr:from>
    <cdr:to>
      <cdr:x>0.19464</cdr:x>
      <cdr:y>0.59763</cdr:y>
    </cdr:to>
    <cdr:cxnSp macro="">
      <cdr:nvCxnSpPr>
        <cdr:cNvPr id="10" name="Connecteur droit 9">
          <a:extLst xmlns:a="http://schemas.openxmlformats.org/drawingml/2006/main">
            <a:ext uri="{FF2B5EF4-FFF2-40B4-BE49-F238E27FC236}">
              <a16:creationId xmlns:a16="http://schemas.microsoft.com/office/drawing/2014/main" id="{D0924952-C0FE-494B-9005-2445B7E7FBFB}"/>
            </a:ext>
          </a:extLst>
        </cdr:cNvPr>
        <cdr:cNvCxnSpPr/>
      </cdr:nvCxnSpPr>
      <cdr:spPr>
        <a:xfrm xmlns:a="http://schemas.openxmlformats.org/drawingml/2006/main">
          <a:off x="1246768" y="3379893"/>
          <a:ext cx="534174"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0.19606</cdr:x>
      <cdr:y>0.62673</cdr:y>
    </cdr:from>
    <cdr:to>
      <cdr:x>0.25443</cdr:x>
      <cdr:y>0.62673</cdr:y>
    </cdr:to>
    <cdr:cxnSp macro="">
      <cdr:nvCxnSpPr>
        <cdr:cNvPr id="12" name="Connecteur droit 11">
          <a:extLst xmlns:a="http://schemas.openxmlformats.org/drawingml/2006/main">
            <a:ext uri="{FF2B5EF4-FFF2-40B4-BE49-F238E27FC236}">
              <a16:creationId xmlns:a16="http://schemas.microsoft.com/office/drawing/2014/main" id="{78175296-0B41-429E-8AD3-1C3FCA1FDA89}"/>
            </a:ext>
          </a:extLst>
        </cdr:cNvPr>
        <cdr:cNvCxnSpPr/>
      </cdr:nvCxnSpPr>
      <cdr:spPr>
        <a:xfrm xmlns:a="http://schemas.openxmlformats.org/drawingml/2006/main">
          <a:off x="1793940" y="3544455"/>
          <a:ext cx="534083"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0.25823</cdr:x>
      <cdr:y>0.54138</cdr:y>
    </cdr:from>
    <cdr:to>
      <cdr:x>0.3166</cdr:x>
      <cdr:y>0.54138</cdr:y>
    </cdr:to>
    <cdr:cxnSp macro="">
      <cdr:nvCxnSpPr>
        <cdr:cNvPr id="13" name="Connecteur droit 12">
          <a:extLst xmlns:a="http://schemas.openxmlformats.org/drawingml/2006/main">
            <a:ext uri="{FF2B5EF4-FFF2-40B4-BE49-F238E27FC236}">
              <a16:creationId xmlns:a16="http://schemas.microsoft.com/office/drawing/2014/main" id="{AF21D155-05AE-4EA2-AF22-B092875E590D}"/>
            </a:ext>
          </a:extLst>
        </cdr:cNvPr>
        <cdr:cNvCxnSpPr/>
      </cdr:nvCxnSpPr>
      <cdr:spPr>
        <a:xfrm xmlns:a="http://schemas.openxmlformats.org/drawingml/2006/main">
          <a:off x="2361280" y="3059593"/>
          <a:ext cx="533736"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0.3176</cdr:x>
      <cdr:y>0.48306</cdr:y>
    </cdr:from>
    <cdr:to>
      <cdr:x>0.37597</cdr:x>
      <cdr:y>0.48306</cdr:y>
    </cdr:to>
    <cdr:cxnSp macro="">
      <cdr:nvCxnSpPr>
        <cdr:cNvPr id="14" name="Connecteur droit 13">
          <a:extLst xmlns:a="http://schemas.openxmlformats.org/drawingml/2006/main">
            <a:ext uri="{FF2B5EF4-FFF2-40B4-BE49-F238E27FC236}">
              <a16:creationId xmlns:a16="http://schemas.microsoft.com/office/drawing/2014/main" id="{31F0CBEF-9EC0-426C-9DFC-8718DB18F52C}"/>
            </a:ext>
          </a:extLst>
        </cdr:cNvPr>
        <cdr:cNvCxnSpPr/>
      </cdr:nvCxnSpPr>
      <cdr:spPr>
        <a:xfrm xmlns:a="http://schemas.openxmlformats.org/drawingml/2006/main">
          <a:off x="2904134" y="2730037"/>
          <a:ext cx="533736"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0.37666</cdr:x>
      <cdr:y>0.63243</cdr:y>
    </cdr:from>
    <cdr:to>
      <cdr:x>0.43503</cdr:x>
      <cdr:y>0.63243</cdr:y>
    </cdr:to>
    <cdr:cxnSp macro="">
      <cdr:nvCxnSpPr>
        <cdr:cNvPr id="15" name="Connecteur droit 14">
          <a:extLst xmlns:a="http://schemas.openxmlformats.org/drawingml/2006/main">
            <a:ext uri="{FF2B5EF4-FFF2-40B4-BE49-F238E27FC236}">
              <a16:creationId xmlns:a16="http://schemas.microsoft.com/office/drawing/2014/main" id="{E914B580-3EC6-4790-8760-74369E06D706}"/>
            </a:ext>
          </a:extLst>
        </cdr:cNvPr>
        <cdr:cNvCxnSpPr/>
      </cdr:nvCxnSpPr>
      <cdr:spPr>
        <a:xfrm xmlns:a="http://schemas.openxmlformats.org/drawingml/2006/main">
          <a:off x="3444179" y="3574178"/>
          <a:ext cx="533735"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0.43726</cdr:x>
      <cdr:y>0.61232</cdr:y>
    </cdr:from>
    <cdr:to>
      <cdr:x>0.49564</cdr:x>
      <cdr:y>0.61232</cdr:y>
    </cdr:to>
    <cdr:cxnSp macro="">
      <cdr:nvCxnSpPr>
        <cdr:cNvPr id="16" name="Connecteur droit 15">
          <a:extLst xmlns:a="http://schemas.openxmlformats.org/drawingml/2006/main">
            <a:ext uri="{FF2B5EF4-FFF2-40B4-BE49-F238E27FC236}">
              <a16:creationId xmlns:a16="http://schemas.microsoft.com/office/drawing/2014/main" id="{C87D05A4-91E8-45D4-8633-91121DDA74D1}"/>
            </a:ext>
          </a:extLst>
        </cdr:cNvPr>
        <cdr:cNvCxnSpPr/>
      </cdr:nvCxnSpPr>
      <cdr:spPr>
        <a:xfrm xmlns:a="http://schemas.openxmlformats.org/drawingml/2006/main">
          <a:off x="3993481" y="3455480"/>
          <a:ext cx="533182"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0.49864</cdr:x>
      <cdr:y>0.53078</cdr:y>
    </cdr:from>
    <cdr:to>
      <cdr:x>0.55701</cdr:x>
      <cdr:y>0.53078</cdr:y>
    </cdr:to>
    <cdr:cxnSp macro="">
      <cdr:nvCxnSpPr>
        <cdr:cNvPr id="17" name="Connecteur droit 16">
          <a:extLst xmlns:a="http://schemas.openxmlformats.org/drawingml/2006/main">
            <a:ext uri="{FF2B5EF4-FFF2-40B4-BE49-F238E27FC236}">
              <a16:creationId xmlns:a16="http://schemas.microsoft.com/office/drawing/2014/main" id="{2BF69076-DA41-475D-9D32-B4F57CEEB523}"/>
            </a:ext>
          </a:extLst>
        </cdr:cNvPr>
        <cdr:cNvCxnSpPr/>
      </cdr:nvCxnSpPr>
      <cdr:spPr>
        <a:xfrm xmlns:a="http://schemas.openxmlformats.org/drawingml/2006/main">
          <a:off x="4554022" y="2995307"/>
          <a:ext cx="533090"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0.55895</cdr:x>
      <cdr:y>0.54461</cdr:y>
    </cdr:from>
    <cdr:to>
      <cdr:x>0.61732</cdr:x>
      <cdr:y>0.54461</cdr:y>
    </cdr:to>
    <cdr:cxnSp macro="">
      <cdr:nvCxnSpPr>
        <cdr:cNvPr id="18" name="Connecteur droit 17">
          <a:extLst xmlns:a="http://schemas.openxmlformats.org/drawingml/2006/main">
            <a:ext uri="{FF2B5EF4-FFF2-40B4-BE49-F238E27FC236}">
              <a16:creationId xmlns:a16="http://schemas.microsoft.com/office/drawing/2014/main" id="{973E9237-9730-411F-AA32-4157224ACA29}"/>
            </a:ext>
          </a:extLst>
        </cdr:cNvPr>
        <cdr:cNvCxnSpPr/>
      </cdr:nvCxnSpPr>
      <cdr:spPr>
        <a:xfrm xmlns:a="http://schemas.openxmlformats.org/drawingml/2006/main">
          <a:off x="5111039" y="3077887"/>
          <a:ext cx="533735"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0.61881</cdr:x>
      <cdr:y>0.54284</cdr:y>
    </cdr:from>
    <cdr:to>
      <cdr:x>0.67718</cdr:x>
      <cdr:y>0.54284</cdr:y>
    </cdr:to>
    <cdr:cxnSp macro="">
      <cdr:nvCxnSpPr>
        <cdr:cNvPr id="19" name="Connecteur droit 18">
          <a:extLst xmlns:a="http://schemas.openxmlformats.org/drawingml/2006/main">
            <a:ext uri="{FF2B5EF4-FFF2-40B4-BE49-F238E27FC236}">
              <a16:creationId xmlns:a16="http://schemas.microsoft.com/office/drawing/2014/main" id="{F7658C13-C9C8-446C-97CA-53E20B724FBA}"/>
            </a:ext>
          </a:extLst>
        </cdr:cNvPr>
        <cdr:cNvCxnSpPr/>
      </cdr:nvCxnSpPr>
      <cdr:spPr>
        <a:xfrm xmlns:a="http://schemas.openxmlformats.org/drawingml/2006/main">
          <a:off x="5662082" y="3070012"/>
          <a:ext cx="534083"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0.6788</cdr:x>
      <cdr:y>0.6129</cdr:y>
    </cdr:from>
    <cdr:to>
      <cdr:x>0.73717</cdr:x>
      <cdr:y>0.6129</cdr:y>
    </cdr:to>
    <cdr:cxnSp macro="">
      <cdr:nvCxnSpPr>
        <cdr:cNvPr id="20" name="Connecteur droit 19">
          <a:extLst xmlns:a="http://schemas.openxmlformats.org/drawingml/2006/main">
            <a:ext uri="{FF2B5EF4-FFF2-40B4-BE49-F238E27FC236}">
              <a16:creationId xmlns:a16="http://schemas.microsoft.com/office/drawing/2014/main" id="{75A999F9-EC57-47F5-BFD1-73CDF8891786}"/>
            </a:ext>
          </a:extLst>
        </cdr:cNvPr>
        <cdr:cNvCxnSpPr/>
      </cdr:nvCxnSpPr>
      <cdr:spPr>
        <a:xfrm xmlns:a="http://schemas.openxmlformats.org/drawingml/2006/main">
          <a:off x="6210988" y="3466249"/>
          <a:ext cx="534083"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0.73904</cdr:x>
      <cdr:y>0.64802</cdr:y>
    </cdr:from>
    <cdr:to>
      <cdr:x>0.79741</cdr:x>
      <cdr:y>0.64802</cdr:y>
    </cdr:to>
    <cdr:cxnSp macro="">
      <cdr:nvCxnSpPr>
        <cdr:cNvPr id="21" name="Connecteur droit 20">
          <a:extLst xmlns:a="http://schemas.openxmlformats.org/drawingml/2006/main">
            <a:ext uri="{FF2B5EF4-FFF2-40B4-BE49-F238E27FC236}">
              <a16:creationId xmlns:a16="http://schemas.microsoft.com/office/drawing/2014/main" id="{573FD4EA-8F56-4A4C-8DB2-DFE9DC67FE7A}"/>
            </a:ext>
          </a:extLst>
        </cdr:cNvPr>
        <cdr:cNvCxnSpPr/>
      </cdr:nvCxnSpPr>
      <cdr:spPr>
        <a:xfrm xmlns:a="http://schemas.openxmlformats.org/drawingml/2006/main">
          <a:off x="6757807" y="3662270"/>
          <a:ext cx="533735"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0.79714</cdr:x>
      <cdr:y>0.63175</cdr:y>
    </cdr:from>
    <cdr:to>
      <cdr:x>0.85552</cdr:x>
      <cdr:y>0.63175</cdr:y>
    </cdr:to>
    <cdr:cxnSp macro="">
      <cdr:nvCxnSpPr>
        <cdr:cNvPr id="22" name="Connecteur droit 21">
          <a:extLst xmlns:a="http://schemas.openxmlformats.org/drawingml/2006/main">
            <a:ext uri="{FF2B5EF4-FFF2-40B4-BE49-F238E27FC236}">
              <a16:creationId xmlns:a16="http://schemas.microsoft.com/office/drawing/2014/main" id="{6BAF8A35-5469-41A3-BC61-399E1047861E}"/>
            </a:ext>
          </a:extLst>
        </cdr:cNvPr>
        <cdr:cNvCxnSpPr/>
      </cdr:nvCxnSpPr>
      <cdr:spPr>
        <a:xfrm xmlns:a="http://schemas.openxmlformats.org/drawingml/2006/main">
          <a:off x="7293794" y="3572865"/>
          <a:ext cx="534174" cy="0"/>
        </a:xfrm>
        <a:prstGeom xmlns:a="http://schemas.openxmlformats.org/drawingml/2006/main" prst="line">
          <a:avLst/>
        </a:prstGeom>
        <a:ln xmlns:a="http://schemas.openxmlformats.org/drawingml/2006/main" w="15875">
          <a:solidFill>
            <a:schemeClr val="tx1">
              <a:lumMod val="65000"/>
              <a:lumOff val="3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0.94232</cdr:x>
      <cdr:y>0.01837</cdr:y>
    </cdr:from>
    <cdr:to>
      <cdr:x>0.98141</cdr:x>
      <cdr:y>0.08152</cdr:y>
    </cdr:to>
    <cdr:pic macro="[0]!Accueil">
      <cdr:nvPicPr>
        <cdr:cNvPr id="5" name="Graphique 4" descr="Newspaper">
          <a:extLst xmlns:a="http://schemas.openxmlformats.org/drawingml/2006/main">
            <a:ext uri="{FF2B5EF4-FFF2-40B4-BE49-F238E27FC236}">
              <a16:creationId xmlns:a16="http://schemas.microsoft.com/office/drawing/2014/main" id="{EAE81617-97E7-4447-8C72-92202C12043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8615204" y="103977"/>
          <a:ext cx="357383" cy="357383"/>
        </a:xfrm>
        <a:prstGeom xmlns:a="http://schemas.openxmlformats.org/drawingml/2006/main" prst="rect">
          <a:avLst/>
        </a:prstGeom>
      </cdr:spPr>
    </cdr:pic>
  </cdr:relSizeAnchor>
  <cdr:relSizeAnchor xmlns:cdr="http://schemas.openxmlformats.org/drawingml/2006/chartDrawing">
    <cdr:from>
      <cdr:x>0.82859</cdr:x>
      <cdr:y>0.02887</cdr:y>
    </cdr:from>
    <cdr:to>
      <cdr:x>0.93907</cdr:x>
      <cdr:y>0.07612</cdr:y>
    </cdr:to>
    <cdr:sp macro="[0]!Accueil" textlink="">
      <cdr:nvSpPr>
        <cdr:cNvPr id="6" name="ZoneTexte 5">
          <a:extLst xmlns:a="http://schemas.openxmlformats.org/drawingml/2006/main">
            <a:ext uri="{FF2B5EF4-FFF2-40B4-BE49-F238E27FC236}">
              <a16:creationId xmlns:a16="http://schemas.microsoft.com/office/drawing/2014/main" id="{E5DDAC40-FACC-7940-856A-D44CEBC73BA9}"/>
            </a:ext>
          </a:extLst>
        </cdr:cNvPr>
        <cdr:cNvSpPr txBox="1"/>
      </cdr:nvSpPr>
      <cdr:spPr>
        <a:xfrm xmlns:a="http://schemas.openxmlformats.org/drawingml/2006/main">
          <a:off x="7575438" y="163392"/>
          <a:ext cx="1010058" cy="2673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Page d'accueil</a:t>
          </a: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899855" cy="6086474"/>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mc:AlternateContent xmlns:mc="http://schemas.openxmlformats.org/markup-compatibility/2006">
    <mc:Choice xmlns:a14="http://schemas.microsoft.com/office/drawing/2010/main" Requires="a14">
      <xdr:twoCellAnchor>
        <xdr:from>
          <xdr:col>10</xdr:col>
          <xdr:colOff>342900</xdr:colOff>
          <xdr:row>8</xdr:row>
          <xdr:rowOff>19050</xdr:rowOff>
        </xdr:from>
        <xdr:to>
          <xdr:col>11</xdr:col>
          <xdr:colOff>723900</xdr:colOff>
          <xdr:row>11</xdr:row>
          <xdr:rowOff>57150</xdr:rowOff>
        </xdr:to>
        <xdr:sp macro="" textlink="">
          <xdr:nvSpPr>
            <xdr:cNvPr id="547841" name="Button 5" hidden="1">
              <a:extLst>
                <a:ext uri="{63B3BB69-23CF-44E3-9099-C40C66FF867C}">
                  <a14:compatExt spid="_x0000_s547841"/>
                </a:ext>
                <a:ext uri="{FF2B5EF4-FFF2-40B4-BE49-F238E27FC236}">
                  <a16:creationId xmlns:a16="http://schemas.microsoft.com/office/drawing/2014/main" id="{00000000-0008-0000-0700-0000015C0800}"/>
                </a:ext>
              </a:extLst>
            </xdr:cNvPr>
            <xdr:cNvSpPr/>
          </xdr:nvSpPr>
          <xdr:spPr bwMode="auto">
            <a:xfrm>
              <a:off x="0" y="0"/>
              <a:ext cx="0" cy="0"/>
            </a:xfrm>
            <a:prstGeom prst="rect">
              <a:avLst/>
            </a:prstGeom>
            <a:noFill/>
            <a:ln w="9525">
              <a:miter lim="800000"/>
              <a:headEnd/>
              <a:tailEnd/>
            </a:ln>
          </xdr:spPr>
          <xdr:txBody>
            <a:bodyPr vertOverflow="clip" wrap="square" lIns="45720" tIns="36576" rIns="45720" bIns="36576" anchor="ctr" upright="1"/>
            <a:lstStyle/>
            <a:p>
              <a:pPr algn="ctr" rtl="0">
                <a:defRPr sz="1000"/>
              </a:pPr>
              <a:r>
                <a:rPr lang="fr-CH" sz="1800" b="1" i="0" u="none" strike="noStrike" baseline="0">
                  <a:solidFill>
                    <a:srgbClr val="FF0000"/>
                  </a:solidFill>
                  <a:latin typeface="Arial"/>
                  <a:cs typeface="Arial"/>
                </a:rPr>
                <a:t>Imprimer</a:t>
              </a:r>
            </a:p>
          </xdr:txBody>
        </xdr:sp>
        <xdr:clientData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7.bin"/><Relationship Id="rId4" Type="http://schemas.openxmlformats.org/officeDocument/2006/relationships/ctrlProp" Target="../ctrlProps/ctrlProp22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8.bin"/><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trlProp" Target="../ctrlProps/ctrlProp23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38.xml"/><Relationship Id="rId13" Type="http://schemas.openxmlformats.org/officeDocument/2006/relationships/ctrlProp" Target="../ctrlProps/ctrlProp243.xml"/><Relationship Id="rId3" Type="http://schemas.openxmlformats.org/officeDocument/2006/relationships/ctrlProp" Target="../ctrlProps/ctrlProp233.xml"/><Relationship Id="rId7" Type="http://schemas.openxmlformats.org/officeDocument/2006/relationships/ctrlProp" Target="../ctrlProps/ctrlProp237.xml"/><Relationship Id="rId12" Type="http://schemas.openxmlformats.org/officeDocument/2006/relationships/ctrlProp" Target="../ctrlProps/ctrlProp242.xml"/><Relationship Id="rId2" Type="http://schemas.openxmlformats.org/officeDocument/2006/relationships/vmlDrawing" Target="../drawings/vmlDrawing13.vml"/><Relationship Id="rId1" Type="http://schemas.openxmlformats.org/officeDocument/2006/relationships/drawing" Target="../drawings/drawing16.xml"/><Relationship Id="rId6" Type="http://schemas.openxmlformats.org/officeDocument/2006/relationships/ctrlProp" Target="../ctrlProps/ctrlProp236.xml"/><Relationship Id="rId11" Type="http://schemas.openxmlformats.org/officeDocument/2006/relationships/ctrlProp" Target="../ctrlProps/ctrlProp241.xml"/><Relationship Id="rId5" Type="http://schemas.openxmlformats.org/officeDocument/2006/relationships/ctrlProp" Target="../ctrlProps/ctrlProp235.xml"/><Relationship Id="rId10" Type="http://schemas.openxmlformats.org/officeDocument/2006/relationships/ctrlProp" Target="../ctrlProps/ctrlProp240.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50.xml"/><Relationship Id="rId3" Type="http://schemas.openxmlformats.org/officeDocument/2006/relationships/ctrlProp" Target="../ctrlProps/ctrlProp245.xml"/><Relationship Id="rId7" Type="http://schemas.openxmlformats.org/officeDocument/2006/relationships/ctrlProp" Target="../ctrlProps/ctrlProp249.xml"/><Relationship Id="rId2" Type="http://schemas.openxmlformats.org/officeDocument/2006/relationships/vmlDrawing" Target="../drawings/vmlDrawing14.vml"/><Relationship Id="rId1" Type="http://schemas.openxmlformats.org/officeDocument/2006/relationships/drawing" Target="../drawings/drawing17.xml"/><Relationship Id="rId6" Type="http://schemas.openxmlformats.org/officeDocument/2006/relationships/ctrlProp" Target="../ctrlProps/ctrlProp248.xml"/><Relationship Id="rId11" Type="http://schemas.openxmlformats.org/officeDocument/2006/relationships/ctrlProp" Target="../ctrlProps/ctrlProp253.xml"/><Relationship Id="rId5" Type="http://schemas.openxmlformats.org/officeDocument/2006/relationships/ctrlProp" Target="../ctrlProps/ctrlProp247.xml"/><Relationship Id="rId10" Type="http://schemas.openxmlformats.org/officeDocument/2006/relationships/ctrlProp" Target="../ctrlProps/ctrlProp252.xml"/><Relationship Id="rId4" Type="http://schemas.openxmlformats.org/officeDocument/2006/relationships/ctrlProp" Target="../ctrlProps/ctrlProp246.xml"/><Relationship Id="rId9" Type="http://schemas.openxmlformats.org/officeDocument/2006/relationships/ctrlProp" Target="../ctrlProps/ctrlProp251.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254.xml"/><Relationship Id="rId2" Type="http://schemas.openxmlformats.org/officeDocument/2006/relationships/vmlDrawing" Target="../drawings/vmlDrawing15.vml"/><Relationship Id="rId1" Type="http://schemas.openxmlformats.org/officeDocument/2006/relationships/drawing" Target="../drawings/drawing18.xml"/><Relationship Id="rId4" Type="http://schemas.openxmlformats.org/officeDocument/2006/relationships/ctrlProp" Target="../ctrlProps/ctrlProp255.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256.xml"/><Relationship Id="rId2" Type="http://schemas.openxmlformats.org/officeDocument/2006/relationships/vmlDrawing" Target="../drawings/vmlDrawing16.vml"/><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5.xml"/><Relationship Id="rId18" Type="http://schemas.openxmlformats.org/officeDocument/2006/relationships/ctrlProp" Target="../ctrlProps/ctrlProp30.xml"/><Relationship Id="rId26" Type="http://schemas.openxmlformats.org/officeDocument/2006/relationships/ctrlProp" Target="../ctrlProps/ctrlProp38.xml"/><Relationship Id="rId39" Type="http://schemas.openxmlformats.org/officeDocument/2006/relationships/ctrlProp" Target="../ctrlProps/ctrlProp51.xml"/><Relationship Id="rId21" Type="http://schemas.openxmlformats.org/officeDocument/2006/relationships/ctrlProp" Target="../ctrlProps/ctrlProp33.xml"/><Relationship Id="rId34" Type="http://schemas.openxmlformats.org/officeDocument/2006/relationships/ctrlProp" Target="../ctrlProps/ctrlProp46.xml"/><Relationship Id="rId42" Type="http://schemas.openxmlformats.org/officeDocument/2006/relationships/ctrlProp" Target="../ctrlProps/ctrlProp54.xml"/><Relationship Id="rId47" Type="http://schemas.openxmlformats.org/officeDocument/2006/relationships/ctrlProp" Target="../ctrlProps/ctrlProp59.xml"/><Relationship Id="rId50" Type="http://schemas.openxmlformats.org/officeDocument/2006/relationships/ctrlProp" Target="../ctrlProps/ctrlProp62.xml"/><Relationship Id="rId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28.xml"/><Relationship Id="rId29" Type="http://schemas.openxmlformats.org/officeDocument/2006/relationships/ctrlProp" Target="../ctrlProps/ctrlProp41.xml"/><Relationship Id="rId11" Type="http://schemas.openxmlformats.org/officeDocument/2006/relationships/ctrlProp" Target="../ctrlProps/ctrlProp23.xml"/><Relationship Id="rId24" Type="http://schemas.openxmlformats.org/officeDocument/2006/relationships/ctrlProp" Target="../ctrlProps/ctrlProp36.xml"/><Relationship Id="rId32" Type="http://schemas.openxmlformats.org/officeDocument/2006/relationships/ctrlProp" Target="../ctrlProps/ctrlProp44.xml"/><Relationship Id="rId37" Type="http://schemas.openxmlformats.org/officeDocument/2006/relationships/ctrlProp" Target="../ctrlProps/ctrlProp49.xml"/><Relationship Id="rId40" Type="http://schemas.openxmlformats.org/officeDocument/2006/relationships/ctrlProp" Target="../ctrlProps/ctrlProp52.xml"/><Relationship Id="rId45" Type="http://schemas.openxmlformats.org/officeDocument/2006/relationships/ctrlProp" Target="../ctrlProps/ctrlProp57.xml"/><Relationship Id="rId5" Type="http://schemas.openxmlformats.org/officeDocument/2006/relationships/ctrlProp" Target="../ctrlProps/ctrlProp17.xml"/><Relationship Id="rId15" Type="http://schemas.openxmlformats.org/officeDocument/2006/relationships/ctrlProp" Target="../ctrlProps/ctrlProp27.xml"/><Relationship Id="rId23" Type="http://schemas.openxmlformats.org/officeDocument/2006/relationships/ctrlProp" Target="../ctrlProps/ctrlProp35.xml"/><Relationship Id="rId28" Type="http://schemas.openxmlformats.org/officeDocument/2006/relationships/ctrlProp" Target="../ctrlProps/ctrlProp40.xml"/><Relationship Id="rId36" Type="http://schemas.openxmlformats.org/officeDocument/2006/relationships/ctrlProp" Target="../ctrlProps/ctrlProp48.xml"/><Relationship Id="rId49" Type="http://schemas.openxmlformats.org/officeDocument/2006/relationships/ctrlProp" Target="../ctrlProps/ctrlProp61.xml"/><Relationship Id="rId10" Type="http://schemas.openxmlformats.org/officeDocument/2006/relationships/ctrlProp" Target="../ctrlProps/ctrlProp22.xml"/><Relationship Id="rId19" Type="http://schemas.openxmlformats.org/officeDocument/2006/relationships/ctrlProp" Target="../ctrlProps/ctrlProp31.xml"/><Relationship Id="rId31" Type="http://schemas.openxmlformats.org/officeDocument/2006/relationships/ctrlProp" Target="../ctrlProps/ctrlProp43.xml"/><Relationship Id="rId44" Type="http://schemas.openxmlformats.org/officeDocument/2006/relationships/ctrlProp" Target="../ctrlProps/ctrlProp56.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 Id="rId22" Type="http://schemas.openxmlformats.org/officeDocument/2006/relationships/ctrlProp" Target="../ctrlProps/ctrlProp34.xml"/><Relationship Id="rId27" Type="http://schemas.openxmlformats.org/officeDocument/2006/relationships/ctrlProp" Target="../ctrlProps/ctrlProp39.xml"/><Relationship Id="rId30" Type="http://schemas.openxmlformats.org/officeDocument/2006/relationships/ctrlProp" Target="../ctrlProps/ctrlProp42.xml"/><Relationship Id="rId35" Type="http://schemas.openxmlformats.org/officeDocument/2006/relationships/ctrlProp" Target="../ctrlProps/ctrlProp47.xml"/><Relationship Id="rId43" Type="http://schemas.openxmlformats.org/officeDocument/2006/relationships/ctrlProp" Target="../ctrlProps/ctrlProp55.xml"/><Relationship Id="rId48" Type="http://schemas.openxmlformats.org/officeDocument/2006/relationships/ctrlProp" Target="../ctrlProps/ctrlProp60.xml"/><Relationship Id="rId8" Type="http://schemas.openxmlformats.org/officeDocument/2006/relationships/ctrlProp" Target="../ctrlProps/ctrlProp20.xml"/><Relationship Id="rId51" Type="http://schemas.openxmlformats.org/officeDocument/2006/relationships/ctrlProp" Target="../ctrlProps/ctrlProp63.xml"/><Relationship Id="rId3" Type="http://schemas.openxmlformats.org/officeDocument/2006/relationships/vmlDrawing" Target="../drawings/vmlDrawing2.vml"/><Relationship Id="rId12" Type="http://schemas.openxmlformats.org/officeDocument/2006/relationships/ctrlProp" Target="../ctrlProps/ctrlProp24.xml"/><Relationship Id="rId17" Type="http://schemas.openxmlformats.org/officeDocument/2006/relationships/ctrlProp" Target="../ctrlProps/ctrlProp29.xml"/><Relationship Id="rId25" Type="http://schemas.openxmlformats.org/officeDocument/2006/relationships/ctrlProp" Target="../ctrlProps/ctrlProp37.xml"/><Relationship Id="rId33" Type="http://schemas.openxmlformats.org/officeDocument/2006/relationships/ctrlProp" Target="../ctrlProps/ctrlProp45.xml"/><Relationship Id="rId38" Type="http://schemas.openxmlformats.org/officeDocument/2006/relationships/ctrlProp" Target="../ctrlProps/ctrlProp50.xml"/><Relationship Id="rId46" Type="http://schemas.openxmlformats.org/officeDocument/2006/relationships/ctrlProp" Target="../ctrlProps/ctrlProp58.xml"/><Relationship Id="rId20" Type="http://schemas.openxmlformats.org/officeDocument/2006/relationships/ctrlProp" Target="../ctrlProps/ctrlProp32.xml"/><Relationship Id="rId41"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18.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257.xml"/><Relationship Id="rId2" Type="http://schemas.openxmlformats.org/officeDocument/2006/relationships/vmlDrawing" Target="../drawings/vmlDrawing17.vml"/><Relationship Id="rId1" Type="http://schemas.openxmlformats.org/officeDocument/2006/relationships/drawing" Target="../drawings/drawing20.xml"/><Relationship Id="rId4" Type="http://schemas.openxmlformats.org/officeDocument/2006/relationships/ctrlProp" Target="../ctrlProps/ctrlProp25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2.bin"/><Relationship Id="rId4" Type="http://schemas.openxmlformats.org/officeDocument/2006/relationships/ctrlProp" Target="../ctrlProps/ctrlProp259.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64.xml"/><Relationship Id="rId3" Type="http://schemas.openxmlformats.org/officeDocument/2006/relationships/vmlDrawing" Target="../drawings/vmlDrawing19.vml"/><Relationship Id="rId7" Type="http://schemas.openxmlformats.org/officeDocument/2006/relationships/ctrlProp" Target="../ctrlProps/ctrlProp263.xml"/><Relationship Id="rId2" Type="http://schemas.openxmlformats.org/officeDocument/2006/relationships/drawing" Target="../drawings/drawing22.xml"/><Relationship Id="rId1" Type="http://schemas.openxmlformats.org/officeDocument/2006/relationships/printerSettings" Target="../printerSettings/printerSettings13.bin"/><Relationship Id="rId6" Type="http://schemas.openxmlformats.org/officeDocument/2006/relationships/ctrlProp" Target="../ctrlProps/ctrlProp262.xml"/><Relationship Id="rId5" Type="http://schemas.openxmlformats.org/officeDocument/2006/relationships/ctrlProp" Target="../ctrlProps/ctrlProp261.xml"/><Relationship Id="rId4" Type="http://schemas.openxmlformats.org/officeDocument/2006/relationships/ctrlProp" Target="../ctrlProps/ctrlProp260.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68.xml"/><Relationship Id="rId3" Type="http://schemas.openxmlformats.org/officeDocument/2006/relationships/oleObject" Target="../embeddings/oleObject1.bin"/><Relationship Id="rId7" Type="http://schemas.openxmlformats.org/officeDocument/2006/relationships/ctrlProp" Target="../ctrlProps/ctrlProp267.xml"/><Relationship Id="rId2" Type="http://schemas.openxmlformats.org/officeDocument/2006/relationships/vmlDrawing" Target="../drawings/vmlDrawing20.vml"/><Relationship Id="rId1" Type="http://schemas.openxmlformats.org/officeDocument/2006/relationships/drawing" Target="../drawings/drawing23.xml"/><Relationship Id="rId6" Type="http://schemas.openxmlformats.org/officeDocument/2006/relationships/ctrlProp" Target="../ctrlProps/ctrlProp266.xml"/><Relationship Id="rId5" Type="http://schemas.openxmlformats.org/officeDocument/2006/relationships/ctrlProp" Target="../ctrlProps/ctrlProp265.xml"/><Relationship Id="rId4" Type="http://schemas.openxmlformats.org/officeDocument/2006/relationships/image" Target="../media/image11.emf"/><Relationship Id="rId9" Type="http://schemas.openxmlformats.org/officeDocument/2006/relationships/ctrlProp" Target="../ctrlProps/ctrlProp269.xml"/></Relationships>
</file>

<file path=xl/worksheets/_rels/sheet25.xml.rels><?xml version="1.0" encoding="UTF-8" standalone="yes"?>
<Relationships xmlns="http://schemas.openxmlformats.org/package/2006/relationships"><Relationship Id="rId3" Type="http://schemas.openxmlformats.org/officeDocument/2006/relationships/ctrlProp" Target="../ctrlProps/ctrlProp270.xml"/><Relationship Id="rId7" Type="http://schemas.openxmlformats.org/officeDocument/2006/relationships/ctrlProp" Target="../ctrlProps/ctrlProp274.xml"/><Relationship Id="rId2" Type="http://schemas.openxmlformats.org/officeDocument/2006/relationships/vmlDrawing" Target="../drawings/vmlDrawing21.vml"/><Relationship Id="rId1" Type="http://schemas.openxmlformats.org/officeDocument/2006/relationships/drawing" Target="../drawings/drawing24.xml"/><Relationship Id="rId6" Type="http://schemas.openxmlformats.org/officeDocument/2006/relationships/ctrlProp" Target="../ctrlProps/ctrlProp273.xml"/><Relationship Id="rId5" Type="http://schemas.openxmlformats.org/officeDocument/2006/relationships/ctrlProp" Target="../ctrlProps/ctrlProp272.xml"/><Relationship Id="rId4" Type="http://schemas.openxmlformats.org/officeDocument/2006/relationships/ctrlProp" Target="../ctrlProps/ctrlProp271.xml"/></Relationships>
</file>

<file path=xl/worksheets/_rels/sheet26.xml.rels><?xml version="1.0" encoding="UTF-8" standalone="yes"?>
<Relationships xmlns="http://schemas.openxmlformats.org/package/2006/relationships"><Relationship Id="rId3" Type="http://schemas.openxmlformats.org/officeDocument/2006/relationships/ctrlProp" Target="../ctrlProps/ctrlProp275.xml"/><Relationship Id="rId7" Type="http://schemas.openxmlformats.org/officeDocument/2006/relationships/ctrlProp" Target="../ctrlProps/ctrlProp279.xml"/><Relationship Id="rId2" Type="http://schemas.openxmlformats.org/officeDocument/2006/relationships/vmlDrawing" Target="../drawings/vmlDrawing22.vml"/><Relationship Id="rId1" Type="http://schemas.openxmlformats.org/officeDocument/2006/relationships/drawing" Target="../drawings/drawing25.xml"/><Relationship Id="rId6" Type="http://schemas.openxmlformats.org/officeDocument/2006/relationships/ctrlProp" Target="../ctrlProps/ctrlProp278.xml"/><Relationship Id="rId5" Type="http://schemas.openxmlformats.org/officeDocument/2006/relationships/ctrlProp" Target="../ctrlProps/ctrlProp277.xml"/><Relationship Id="rId4" Type="http://schemas.openxmlformats.org/officeDocument/2006/relationships/ctrlProp" Target="../ctrlProps/ctrlProp276.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14.bin"/><Relationship Id="rId5" Type="http://schemas.openxmlformats.org/officeDocument/2006/relationships/ctrlProp" Target="../ctrlProps/ctrlProp281.xml"/><Relationship Id="rId4" Type="http://schemas.openxmlformats.org/officeDocument/2006/relationships/ctrlProp" Target="../ctrlProps/ctrlProp28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7.xml"/><Relationship Id="rId1" Type="http://schemas.openxmlformats.org/officeDocument/2006/relationships/printerSettings" Target="../printerSettings/printerSettings15.bin"/><Relationship Id="rId6" Type="http://schemas.openxmlformats.org/officeDocument/2006/relationships/ctrlProp" Target="../ctrlProps/ctrlProp284.xml"/><Relationship Id="rId5" Type="http://schemas.openxmlformats.org/officeDocument/2006/relationships/ctrlProp" Target="../ctrlProps/ctrlProp283.xml"/><Relationship Id="rId4" Type="http://schemas.openxmlformats.org/officeDocument/2006/relationships/ctrlProp" Target="../ctrlProps/ctrlProp282.xml"/></Relationships>
</file>

<file path=xl/worksheets/_rels/sheet29.xml.rels><?xml version="1.0" encoding="UTF-8" standalone="yes"?>
<Relationships xmlns="http://schemas.openxmlformats.org/package/2006/relationships"><Relationship Id="rId117" Type="http://schemas.openxmlformats.org/officeDocument/2006/relationships/ctrlProp" Target="../ctrlProps/ctrlProp399.xml"/><Relationship Id="rId21" Type="http://schemas.openxmlformats.org/officeDocument/2006/relationships/ctrlProp" Target="../ctrlProps/ctrlProp303.xml"/><Relationship Id="rId42" Type="http://schemas.openxmlformats.org/officeDocument/2006/relationships/ctrlProp" Target="../ctrlProps/ctrlProp324.xml"/><Relationship Id="rId63" Type="http://schemas.openxmlformats.org/officeDocument/2006/relationships/ctrlProp" Target="../ctrlProps/ctrlProp345.xml"/><Relationship Id="rId84" Type="http://schemas.openxmlformats.org/officeDocument/2006/relationships/ctrlProp" Target="../ctrlProps/ctrlProp366.xml"/><Relationship Id="rId138" Type="http://schemas.openxmlformats.org/officeDocument/2006/relationships/ctrlProp" Target="../ctrlProps/ctrlProp420.xml"/><Relationship Id="rId159" Type="http://schemas.openxmlformats.org/officeDocument/2006/relationships/ctrlProp" Target="../ctrlProps/ctrlProp441.xml"/><Relationship Id="rId170" Type="http://schemas.openxmlformats.org/officeDocument/2006/relationships/ctrlProp" Target="../ctrlProps/ctrlProp452.xml"/><Relationship Id="rId107" Type="http://schemas.openxmlformats.org/officeDocument/2006/relationships/ctrlProp" Target="../ctrlProps/ctrlProp389.xml"/><Relationship Id="rId11" Type="http://schemas.openxmlformats.org/officeDocument/2006/relationships/ctrlProp" Target="../ctrlProps/ctrlProp293.xml"/><Relationship Id="rId32" Type="http://schemas.openxmlformats.org/officeDocument/2006/relationships/ctrlProp" Target="../ctrlProps/ctrlProp314.xml"/><Relationship Id="rId53" Type="http://schemas.openxmlformats.org/officeDocument/2006/relationships/ctrlProp" Target="../ctrlProps/ctrlProp335.xml"/><Relationship Id="rId74" Type="http://schemas.openxmlformats.org/officeDocument/2006/relationships/ctrlProp" Target="../ctrlProps/ctrlProp356.xml"/><Relationship Id="rId128" Type="http://schemas.openxmlformats.org/officeDocument/2006/relationships/ctrlProp" Target="../ctrlProps/ctrlProp410.xml"/><Relationship Id="rId149" Type="http://schemas.openxmlformats.org/officeDocument/2006/relationships/ctrlProp" Target="../ctrlProps/ctrlProp431.xml"/><Relationship Id="rId5" Type="http://schemas.openxmlformats.org/officeDocument/2006/relationships/ctrlProp" Target="../ctrlProps/ctrlProp287.xml"/><Relationship Id="rId95" Type="http://schemas.openxmlformats.org/officeDocument/2006/relationships/ctrlProp" Target="../ctrlProps/ctrlProp377.xml"/><Relationship Id="rId160" Type="http://schemas.openxmlformats.org/officeDocument/2006/relationships/ctrlProp" Target="../ctrlProps/ctrlProp442.xml"/><Relationship Id="rId22" Type="http://schemas.openxmlformats.org/officeDocument/2006/relationships/ctrlProp" Target="../ctrlProps/ctrlProp304.xml"/><Relationship Id="rId43" Type="http://schemas.openxmlformats.org/officeDocument/2006/relationships/ctrlProp" Target="../ctrlProps/ctrlProp325.xml"/><Relationship Id="rId64" Type="http://schemas.openxmlformats.org/officeDocument/2006/relationships/ctrlProp" Target="../ctrlProps/ctrlProp346.xml"/><Relationship Id="rId118" Type="http://schemas.openxmlformats.org/officeDocument/2006/relationships/ctrlProp" Target="../ctrlProps/ctrlProp400.xml"/><Relationship Id="rId139" Type="http://schemas.openxmlformats.org/officeDocument/2006/relationships/ctrlProp" Target="../ctrlProps/ctrlProp421.xml"/><Relationship Id="rId85" Type="http://schemas.openxmlformats.org/officeDocument/2006/relationships/ctrlProp" Target="../ctrlProps/ctrlProp367.xml"/><Relationship Id="rId150" Type="http://schemas.openxmlformats.org/officeDocument/2006/relationships/ctrlProp" Target="../ctrlProps/ctrlProp432.xml"/><Relationship Id="rId171" Type="http://schemas.openxmlformats.org/officeDocument/2006/relationships/ctrlProp" Target="../ctrlProps/ctrlProp453.xml"/><Relationship Id="rId12" Type="http://schemas.openxmlformats.org/officeDocument/2006/relationships/ctrlProp" Target="../ctrlProps/ctrlProp294.xml"/><Relationship Id="rId33" Type="http://schemas.openxmlformats.org/officeDocument/2006/relationships/ctrlProp" Target="../ctrlProps/ctrlProp315.xml"/><Relationship Id="rId108" Type="http://schemas.openxmlformats.org/officeDocument/2006/relationships/ctrlProp" Target="../ctrlProps/ctrlProp390.xml"/><Relationship Id="rId129" Type="http://schemas.openxmlformats.org/officeDocument/2006/relationships/ctrlProp" Target="../ctrlProps/ctrlProp411.xml"/><Relationship Id="rId54" Type="http://schemas.openxmlformats.org/officeDocument/2006/relationships/ctrlProp" Target="../ctrlProps/ctrlProp336.xml"/><Relationship Id="rId75" Type="http://schemas.openxmlformats.org/officeDocument/2006/relationships/ctrlProp" Target="../ctrlProps/ctrlProp357.xml"/><Relationship Id="rId96" Type="http://schemas.openxmlformats.org/officeDocument/2006/relationships/ctrlProp" Target="../ctrlProps/ctrlProp378.xml"/><Relationship Id="rId140" Type="http://schemas.openxmlformats.org/officeDocument/2006/relationships/ctrlProp" Target="../ctrlProps/ctrlProp422.xml"/><Relationship Id="rId161" Type="http://schemas.openxmlformats.org/officeDocument/2006/relationships/ctrlProp" Target="../ctrlProps/ctrlProp443.xml"/><Relationship Id="rId6" Type="http://schemas.openxmlformats.org/officeDocument/2006/relationships/ctrlProp" Target="../ctrlProps/ctrlProp288.xml"/><Relationship Id="rId23" Type="http://schemas.openxmlformats.org/officeDocument/2006/relationships/ctrlProp" Target="../ctrlProps/ctrlProp305.xml"/><Relationship Id="rId28" Type="http://schemas.openxmlformats.org/officeDocument/2006/relationships/ctrlProp" Target="../ctrlProps/ctrlProp310.xml"/><Relationship Id="rId49" Type="http://schemas.openxmlformats.org/officeDocument/2006/relationships/ctrlProp" Target="../ctrlProps/ctrlProp331.xml"/><Relationship Id="rId114" Type="http://schemas.openxmlformats.org/officeDocument/2006/relationships/ctrlProp" Target="../ctrlProps/ctrlProp396.xml"/><Relationship Id="rId119" Type="http://schemas.openxmlformats.org/officeDocument/2006/relationships/ctrlProp" Target="../ctrlProps/ctrlProp401.xml"/><Relationship Id="rId44" Type="http://schemas.openxmlformats.org/officeDocument/2006/relationships/ctrlProp" Target="../ctrlProps/ctrlProp326.xml"/><Relationship Id="rId60" Type="http://schemas.openxmlformats.org/officeDocument/2006/relationships/ctrlProp" Target="../ctrlProps/ctrlProp342.xml"/><Relationship Id="rId65" Type="http://schemas.openxmlformats.org/officeDocument/2006/relationships/ctrlProp" Target="../ctrlProps/ctrlProp347.xml"/><Relationship Id="rId81" Type="http://schemas.openxmlformats.org/officeDocument/2006/relationships/ctrlProp" Target="../ctrlProps/ctrlProp363.xml"/><Relationship Id="rId86" Type="http://schemas.openxmlformats.org/officeDocument/2006/relationships/ctrlProp" Target="../ctrlProps/ctrlProp368.xml"/><Relationship Id="rId130" Type="http://schemas.openxmlformats.org/officeDocument/2006/relationships/ctrlProp" Target="../ctrlProps/ctrlProp412.xml"/><Relationship Id="rId135" Type="http://schemas.openxmlformats.org/officeDocument/2006/relationships/ctrlProp" Target="../ctrlProps/ctrlProp417.xml"/><Relationship Id="rId151" Type="http://schemas.openxmlformats.org/officeDocument/2006/relationships/ctrlProp" Target="../ctrlProps/ctrlProp433.xml"/><Relationship Id="rId156" Type="http://schemas.openxmlformats.org/officeDocument/2006/relationships/ctrlProp" Target="../ctrlProps/ctrlProp438.xml"/><Relationship Id="rId177" Type="http://schemas.openxmlformats.org/officeDocument/2006/relationships/ctrlProp" Target="../ctrlProps/ctrlProp459.xml"/><Relationship Id="rId172" Type="http://schemas.openxmlformats.org/officeDocument/2006/relationships/ctrlProp" Target="../ctrlProps/ctrlProp454.xml"/><Relationship Id="rId13" Type="http://schemas.openxmlformats.org/officeDocument/2006/relationships/ctrlProp" Target="../ctrlProps/ctrlProp295.xml"/><Relationship Id="rId18" Type="http://schemas.openxmlformats.org/officeDocument/2006/relationships/ctrlProp" Target="../ctrlProps/ctrlProp300.xml"/><Relationship Id="rId39" Type="http://schemas.openxmlformats.org/officeDocument/2006/relationships/ctrlProp" Target="../ctrlProps/ctrlProp321.xml"/><Relationship Id="rId109" Type="http://schemas.openxmlformats.org/officeDocument/2006/relationships/ctrlProp" Target="../ctrlProps/ctrlProp391.xml"/><Relationship Id="rId34" Type="http://schemas.openxmlformats.org/officeDocument/2006/relationships/ctrlProp" Target="../ctrlProps/ctrlProp316.xml"/><Relationship Id="rId50" Type="http://schemas.openxmlformats.org/officeDocument/2006/relationships/ctrlProp" Target="../ctrlProps/ctrlProp332.xml"/><Relationship Id="rId55" Type="http://schemas.openxmlformats.org/officeDocument/2006/relationships/ctrlProp" Target="../ctrlProps/ctrlProp337.xml"/><Relationship Id="rId76" Type="http://schemas.openxmlformats.org/officeDocument/2006/relationships/ctrlProp" Target="../ctrlProps/ctrlProp358.xml"/><Relationship Id="rId97" Type="http://schemas.openxmlformats.org/officeDocument/2006/relationships/ctrlProp" Target="../ctrlProps/ctrlProp379.xml"/><Relationship Id="rId104" Type="http://schemas.openxmlformats.org/officeDocument/2006/relationships/ctrlProp" Target="../ctrlProps/ctrlProp386.xml"/><Relationship Id="rId120" Type="http://schemas.openxmlformats.org/officeDocument/2006/relationships/ctrlProp" Target="../ctrlProps/ctrlProp402.xml"/><Relationship Id="rId125" Type="http://schemas.openxmlformats.org/officeDocument/2006/relationships/ctrlProp" Target="../ctrlProps/ctrlProp407.xml"/><Relationship Id="rId141" Type="http://schemas.openxmlformats.org/officeDocument/2006/relationships/ctrlProp" Target="../ctrlProps/ctrlProp423.xml"/><Relationship Id="rId146" Type="http://schemas.openxmlformats.org/officeDocument/2006/relationships/ctrlProp" Target="../ctrlProps/ctrlProp428.xml"/><Relationship Id="rId167" Type="http://schemas.openxmlformats.org/officeDocument/2006/relationships/ctrlProp" Target="../ctrlProps/ctrlProp449.xml"/><Relationship Id="rId7" Type="http://schemas.openxmlformats.org/officeDocument/2006/relationships/ctrlProp" Target="../ctrlProps/ctrlProp289.xml"/><Relationship Id="rId71" Type="http://schemas.openxmlformats.org/officeDocument/2006/relationships/ctrlProp" Target="../ctrlProps/ctrlProp353.xml"/><Relationship Id="rId92" Type="http://schemas.openxmlformats.org/officeDocument/2006/relationships/ctrlProp" Target="../ctrlProps/ctrlProp374.xml"/><Relationship Id="rId162" Type="http://schemas.openxmlformats.org/officeDocument/2006/relationships/ctrlProp" Target="../ctrlProps/ctrlProp444.xml"/><Relationship Id="rId2" Type="http://schemas.openxmlformats.org/officeDocument/2006/relationships/vmlDrawing" Target="../drawings/vmlDrawing25.vml"/><Relationship Id="rId29" Type="http://schemas.openxmlformats.org/officeDocument/2006/relationships/ctrlProp" Target="../ctrlProps/ctrlProp311.xml"/><Relationship Id="rId24" Type="http://schemas.openxmlformats.org/officeDocument/2006/relationships/ctrlProp" Target="../ctrlProps/ctrlProp306.xml"/><Relationship Id="rId40" Type="http://schemas.openxmlformats.org/officeDocument/2006/relationships/ctrlProp" Target="../ctrlProps/ctrlProp322.xml"/><Relationship Id="rId45" Type="http://schemas.openxmlformats.org/officeDocument/2006/relationships/ctrlProp" Target="../ctrlProps/ctrlProp327.xml"/><Relationship Id="rId66" Type="http://schemas.openxmlformats.org/officeDocument/2006/relationships/ctrlProp" Target="../ctrlProps/ctrlProp348.xml"/><Relationship Id="rId87" Type="http://schemas.openxmlformats.org/officeDocument/2006/relationships/ctrlProp" Target="../ctrlProps/ctrlProp369.xml"/><Relationship Id="rId110" Type="http://schemas.openxmlformats.org/officeDocument/2006/relationships/ctrlProp" Target="../ctrlProps/ctrlProp392.xml"/><Relationship Id="rId115" Type="http://schemas.openxmlformats.org/officeDocument/2006/relationships/ctrlProp" Target="../ctrlProps/ctrlProp397.xml"/><Relationship Id="rId131" Type="http://schemas.openxmlformats.org/officeDocument/2006/relationships/ctrlProp" Target="../ctrlProps/ctrlProp413.xml"/><Relationship Id="rId136" Type="http://schemas.openxmlformats.org/officeDocument/2006/relationships/ctrlProp" Target="../ctrlProps/ctrlProp418.xml"/><Relationship Id="rId157" Type="http://schemas.openxmlformats.org/officeDocument/2006/relationships/ctrlProp" Target="../ctrlProps/ctrlProp439.xml"/><Relationship Id="rId178" Type="http://schemas.openxmlformats.org/officeDocument/2006/relationships/ctrlProp" Target="../ctrlProps/ctrlProp460.xml"/><Relationship Id="rId61" Type="http://schemas.openxmlformats.org/officeDocument/2006/relationships/ctrlProp" Target="../ctrlProps/ctrlProp343.xml"/><Relationship Id="rId82" Type="http://schemas.openxmlformats.org/officeDocument/2006/relationships/ctrlProp" Target="../ctrlProps/ctrlProp364.xml"/><Relationship Id="rId152" Type="http://schemas.openxmlformats.org/officeDocument/2006/relationships/ctrlProp" Target="../ctrlProps/ctrlProp434.xml"/><Relationship Id="rId173" Type="http://schemas.openxmlformats.org/officeDocument/2006/relationships/ctrlProp" Target="../ctrlProps/ctrlProp455.xml"/><Relationship Id="rId19" Type="http://schemas.openxmlformats.org/officeDocument/2006/relationships/ctrlProp" Target="../ctrlProps/ctrlProp301.xml"/><Relationship Id="rId14" Type="http://schemas.openxmlformats.org/officeDocument/2006/relationships/ctrlProp" Target="../ctrlProps/ctrlProp296.xml"/><Relationship Id="rId30" Type="http://schemas.openxmlformats.org/officeDocument/2006/relationships/ctrlProp" Target="../ctrlProps/ctrlProp312.xml"/><Relationship Id="rId35" Type="http://schemas.openxmlformats.org/officeDocument/2006/relationships/ctrlProp" Target="../ctrlProps/ctrlProp317.xml"/><Relationship Id="rId56" Type="http://schemas.openxmlformats.org/officeDocument/2006/relationships/ctrlProp" Target="../ctrlProps/ctrlProp338.xml"/><Relationship Id="rId77" Type="http://schemas.openxmlformats.org/officeDocument/2006/relationships/ctrlProp" Target="../ctrlProps/ctrlProp359.xml"/><Relationship Id="rId100" Type="http://schemas.openxmlformats.org/officeDocument/2006/relationships/ctrlProp" Target="../ctrlProps/ctrlProp382.xml"/><Relationship Id="rId105" Type="http://schemas.openxmlformats.org/officeDocument/2006/relationships/ctrlProp" Target="../ctrlProps/ctrlProp387.xml"/><Relationship Id="rId126" Type="http://schemas.openxmlformats.org/officeDocument/2006/relationships/ctrlProp" Target="../ctrlProps/ctrlProp408.xml"/><Relationship Id="rId147" Type="http://schemas.openxmlformats.org/officeDocument/2006/relationships/ctrlProp" Target="../ctrlProps/ctrlProp429.xml"/><Relationship Id="rId168" Type="http://schemas.openxmlformats.org/officeDocument/2006/relationships/ctrlProp" Target="../ctrlProps/ctrlProp450.xml"/><Relationship Id="rId8" Type="http://schemas.openxmlformats.org/officeDocument/2006/relationships/ctrlProp" Target="../ctrlProps/ctrlProp290.xml"/><Relationship Id="rId51" Type="http://schemas.openxmlformats.org/officeDocument/2006/relationships/ctrlProp" Target="../ctrlProps/ctrlProp333.xml"/><Relationship Id="rId72" Type="http://schemas.openxmlformats.org/officeDocument/2006/relationships/ctrlProp" Target="../ctrlProps/ctrlProp354.xml"/><Relationship Id="rId93" Type="http://schemas.openxmlformats.org/officeDocument/2006/relationships/ctrlProp" Target="../ctrlProps/ctrlProp375.xml"/><Relationship Id="rId98" Type="http://schemas.openxmlformats.org/officeDocument/2006/relationships/ctrlProp" Target="../ctrlProps/ctrlProp380.xml"/><Relationship Id="rId121" Type="http://schemas.openxmlformats.org/officeDocument/2006/relationships/ctrlProp" Target="../ctrlProps/ctrlProp403.xml"/><Relationship Id="rId142" Type="http://schemas.openxmlformats.org/officeDocument/2006/relationships/ctrlProp" Target="../ctrlProps/ctrlProp424.xml"/><Relationship Id="rId163" Type="http://schemas.openxmlformats.org/officeDocument/2006/relationships/ctrlProp" Target="../ctrlProps/ctrlProp445.xml"/><Relationship Id="rId3" Type="http://schemas.openxmlformats.org/officeDocument/2006/relationships/ctrlProp" Target="../ctrlProps/ctrlProp285.xml"/><Relationship Id="rId25" Type="http://schemas.openxmlformats.org/officeDocument/2006/relationships/ctrlProp" Target="../ctrlProps/ctrlProp307.xml"/><Relationship Id="rId46" Type="http://schemas.openxmlformats.org/officeDocument/2006/relationships/ctrlProp" Target="../ctrlProps/ctrlProp328.xml"/><Relationship Id="rId67" Type="http://schemas.openxmlformats.org/officeDocument/2006/relationships/ctrlProp" Target="../ctrlProps/ctrlProp349.xml"/><Relationship Id="rId116" Type="http://schemas.openxmlformats.org/officeDocument/2006/relationships/ctrlProp" Target="../ctrlProps/ctrlProp398.xml"/><Relationship Id="rId137" Type="http://schemas.openxmlformats.org/officeDocument/2006/relationships/ctrlProp" Target="../ctrlProps/ctrlProp419.xml"/><Relationship Id="rId158" Type="http://schemas.openxmlformats.org/officeDocument/2006/relationships/ctrlProp" Target="../ctrlProps/ctrlProp440.xml"/><Relationship Id="rId20" Type="http://schemas.openxmlformats.org/officeDocument/2006/relationships/ctrlProp" Target="../ctrlProps/ctrlProp302.xml"/><Relationship Id="rId41" Type="http://schemas.openxmlformats.org/officeDocument/2006/relationships/ctrlProp" Target="../ctrlProps/ctrlProp323.xml"/><Relationship Id="rId62" Type="http://schemas.openxmlformats.org/officeDocument/2006/relationships/ctrlProp" Target="../ctrlProps/ctrlProp344.xml"/><Relationship Id="rId83" Type="http://schemas.openxmlformats.org/officeDocument/2006/relationships/ctrlProp" Target="../ctrlProps/ctrlProp365.xml"/><Relationship Id="rId88" Type="http://schemas.openxmlformats.org/officeDocument/2006/relationships/ctrlProp" Target="../ctrlProps/ctrlProp370.xml"/><Relationship Id="rId111" Type="http://schemas.openxmlformats.org/officeDocument/2006/relationships/ctrlProp" Target="../ctrlProps/ctrlProp393.xml"/><Relationship Id="rId132" Type="http://schemas.openxmlformats.org/officeDocument/2006/relationships/ctrlProp" Target="../ctrlProps/ctrlProp414.xml"/><Relationship Id="rId153" Type="http://schemas.openxmlformats.org/officeDocument/2006/relationships/ctrlProp" Target="../ctrlProps/ctrlProp435.xml"/><Relationship Id="rId174" Type="http://schemas.openxmlformats.org/officeDocument/2006/relationships/ctrlProp" Target="../ctrlProps/ctrlProp456.xml"/><Relationship Id="rId179" Type="http://schemas.openxmlformats.org/officeDocument/2006/relationships/ctrlProp" Target="../ctrlProps/ctrlProp461.xml"/><Relationship Id="rId15" Type="http://schemas.openxmlformats.org/officeDocument/2006/relationships/ctrlProp" Target="../ctrlProps/ctrlProp297.xml"/><Relationship Id="rId36" Type="http://schemas.openxmlformats.org/officeDocument/2006/relationships/ctrlProp" Target="../ctrlProps/ctrlProp318.xml"/><Relationship Id="rId57" Type="http://schemas.openxmlformats.org/officeDocument/2006/relationships/ctrlProp" Target="../ctrlProps/ctrlProp339.xml"/><Relationship Id="rId106" Type="http://schemas.openxmlformats.org/officeDocument/2006/relationships/ctrlProp" Target="../ctrlProps/ctrlProp388.xml"/><Relationship Id="rId127" Type="http://schemas.openxmlformats.org/officeDocument/2006/relationships/ctrlProp" Target="../ctrlProps/ctrlProp409.xml"/><Relationship Id="rId10" Type="http://schemas.openxmlformats.org/officeDocument/2006/relationships/ctrlProp" Target="../ctrlProps/ctrlProp292.xml"/><Relationship Id="rId31" Type="http://schemas.openxmlformats.org/officeDocument/2006/relationships/ctrlProp" Target="../ctrlProps/ctrlProp313.xml"/><Relationship Id="rId52" Type="http://schemas.openxmlformats.org/officeDocument/2006/relationships/ctrlProp" Target="../ctrlProps/ctrlProp334.xml"/><Relationship Id="rId73" Type="http://schemas.openxmlformats.org/officeDocument/2006/relationships/ctrlProp" Target="../ctrlProps/ctrlProp355.xml"/><Relationship Id="rId78" Type="http://schemas.openxmlformats.org/officeDocument/2006/relationships/ctrlProp" Target="../ctrlProps/ctrlProp360.xml"/><Relationship Id="rId94" Type="http://schemas.openxmlformats.org/officeDocument/2006/relationships/ctrlProp" Target="../ctrlProps/ctrlProp376.xml"/><Relationship Id="rId99" Type="http://schemas.openxmlformats.org/officeDocument/2006/relationships/ctrlProp" Target="../ctrlProps/ctrlProp381.xml"/><Relationship Id="rId101" Type="http://schemas.openxmlformats.org/officeDocument/2006/relationships/ctrlProp" Target="../ctrlProps/ctrlProp383.xml"/><Relationship Id="rId122" Type="http://schemas.openxmlformats.org/officeDocument/2006/relationships/ctrlProp" Target="../ctrlProps/ctrlProp404.xml"/><Relationship Id="rId143" Type="http://schemas.openxmlformats.org/officeDocument/2006/relationships/ctrlProp" Target="../ctrlProps/ctrlProp425.xml"/><Relationship Id="rId148" Type="http://schemas.openxmlformats.org/officeDocument/2006/relationships/ctrlProp" Target="../ctrlProps/ctrlProp430.xml"/><Relationship Id="rId164" Type="http://schemas.openxmlformats.org/officeDocument/2006/relationships/ctrlProp" Target="../ctrlProps/ctrlProp446.xml"/><Relationship Id="rId169" Type="http://schemas.openxmlformats.org/officeDocument/2006/relationships/ctrlProp" Target="../ctrlProps/ctrlProp451.xml"/><Relationship Id="rId4" Type="http://schemas.openxmlformats.org/officeDocument/2006/relationships/ctrlProp" Target="../ctrlProps/ctrlProp286.xml"/><Relationship Id="rId9" Type="http://schemas.openxmlformats.org/officeDocument/2006/relationships/ctrlProp" Target="../ctrlProps/ctrlProp291.xml"/><Relationship Id="rId180" Type="http://schemas.openxmlformats.org/officeDocument/2006/relationships/ctrlProp" Target="../ctrlProps/ctrlProp462.xml"/><Relationship Id="rId26" Type="http://schemas.openxmlformats.org/officeDocument/2006/relationships/ctrlProp" Target="../ctrlProps/ctrlProp308.xml"/><Relationship Id="rId47" Type="http://schemas.openxmlformats.org/officeDocument/2006/relationships/ctrlProp" Target="../ctrlProps/ctrlProp329.xml"/><Relationship Id="rId68" Type="http://schemas.openxmlformats.org/officeDocument/2006/relationships/ctrlProp" Target="../ctrlProps/ctrlProp350.xml"/><Relationship Id="rId89" Type="http://schemas.openxmlformats.org/officeDocument/2006/relationships/ctrlProp" Target="../ctrlProps/ctrlProp371.xml"/><Relationship Id="rId112" Type="http://schemas.openxmlformats.org/officeDocument/2006/relationships/ctrlProp" Target="../ctrlProps/ctrlProp394.xml"/><Relationship Id="rId133" Type="http://schemas.openxmlformats.org/officeDocument/2006/relationships/ctrlProp" Target="../ctrlProps/ctrlProp415.xml"/><Relationship Id="rId154" Type="http://schemas.openxmlformats.org/officeDocument/2006/relationships/ctrlProp" Target="../ctrlProps/ctrlProp436.xml"/><Relationship Id="rId175" Type="http://schemas.openxmlformats.org/officeDocument/2006/relationships/ctrlProp" Target="../ctrlProps/ctrlProp457.xml"/><Relationship Id="rId16" Type="http://schemas.openxmlformats.org/officeDocument/2006/relationships/ctrlProp" Target="../ctrlProps/ctrlProp298.xml"/><Relationship Id="rId37" Type="http://schemas.openxmlformats.org/officeDocument/2006/relationships/ctrlProp" Target="../ctrlProps/ctrlProp319.xml"/><Relationship Id="rId58" Type="http://schemas.openxmlformats.org/officeDocument/2006/relationships/ctrlProp" Target="../ctrlProps/ctrlProp340.xml"/><Relationship Id="rId79" Type="http://schemas.openxmlformats.org/officeDocument/2006/relationships/ctrlProp" Target="../ctrlProps/ctrlProp361.xml"/><Relationship Id="rId102" Type="http://schemas.openxmlformats.org/officeDocument/2006/relationships/ctrlProp" Target="../ctrlProps/ctrlProp384.xml"/><Relationship Id="rId123" Type="http://schemas.openxmlformats.org/officeDocument/2006/relationships/ctrlProp" Target="../ctrlProps/ctrlProp405.xml"/><Relationship Id="rId144" Type="http://schemas.openxmlformats.org/officeDocument/2006/relationships/ctrlProp" Target="../ctrlProps/ctrlProp426.xml"/><Relationship Id="rId90" Type="http://schemas.openxmlformats.org/officeDocument/2006/relationships/ctrlProp" Target="../ctrlProps/ctrlProp372.xml"/><Relationship Id="rId165" Type="http://schemas.openxmlformats.org/officeDocument/2006/relationships/ctrlProp" Target="../ctrlProps/ctrlProp447.xml"/><Relationship Id="rId27" Type="http://schemas.openxmlformats.org/officeDocument/2006/relationships/ctrlProp" Target="../ctrlProps/ctrlProp309.xml"/><Relationship Id="rId48" Type="http://schemas.openxmlformats.org/officeDocument/2006/relationships/ctrlProp" Target="../ctrlProps/ctrlProp330.xml"/><Relationship Id="rId69" Type="http://schemas.openxmlformats.org/officeDocument/2006/relationships/ctrlProp" Target="../ctrlProps/ctrlProp351.xml"/><Relationship Id="rId113" Type="http://schemas.openxmlformats.org/officeDocument/2006/relationships/ctrlProp" Target="../ctrlProps/ctrlProp395.xml"/><Relationship Id="rId134" Type="http://schemas.openxmlformats.org/officeDocument/2006/relationships/ctrlProp" Target="../ctrlProps/ctrlProp416.xml"/><Relationship Id="rId80" Type="http://schemas.openxmlformats.org/officeDocument/2006/relationships/ctrlProp" Target="../ctrlProps/ctrlProp362.xml"/><Relationship Id="rId155" Type="http://schemas.openxmlformats.org/officeDocument/2006/relationships/ctrlProp" Target="../ctrlProps/ctrlProp437.xml"/><Relationship Id="rId176" Type="http://schemas.openxmlformats.org/officeDocument/2006/relationships/ctrlProp" Target="../ctrlProps/ctrlProp458.xml"/><Relationship Id="rId17" Type="http://schemas.openxmlformats.org/officeDocument/2006/relationships/ctrlProp" Target="../ctrlProps/ctrlProp299.xml"/><Relationship Id="rId38" Type="http://schemas.openxmlformats.org/officeDocument/2006/relationships/ctrlProp" Target="../ctrlProps/ctrlProp320.xml"/><Relationship Id="rId59" Type="http://schemas.openxmlformats.org/officeDocument/2006/relationships/ctrlProp" Target="../ctrlProps/ctrlProp341.xml"/><Relationship Id="rId103" Type="http://schemas.openxmlformats.org/officeDocument/2006/relationships/ctrlProp" Target="../ctrlProps/ctrlProp385.xml"/><Relationship Id="rId124" Type="http://schemas.openxmlformats.org/officeDocument/2006/relationships/ctrlProp" Target="../ctrlProps/ctrlProp406.xml"/><Relationship Id="rId70" Type="http://schemas.openxmlformats.org/officeDocument/2006/relationships/ctrlProp" Target="../ctrlProps/ctrlProp352.xml"/><Relationship Id="rId91" Type="http://schemas.openxmlformats.org/officeDocument/2006/relationships/ctrlProp" Target="../ctrlProps/ctrlProp373.xml"/><Relationship Id="rId145" Type="http://schemas.openxmlformats.org/officeDocument/2006/relationships/ctrlProp" Target="../ctrlProps/ctrlProp427.xml"/><Relationship Id="rId166" Type="http://schemas.openxmlformats.org/officeDocument/2006/relationships/ctrlProp" Target="../ctrlProps/ctrlProp448.xml"/><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ctrlProp" Target="../ctrlProps/ctrlProp64.x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2" Type="http://schemas.openxmlformats.org/officeDocument/2006/relationships/vmlDrawing" Target="../drawings/vmlDrawing3.v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drawing" Target="../drawings/drawing3.xml"/><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3.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84" Type="http://schemas.openxmlformats.org/officeDocument/2006/relationships/ctrlProp" Target="../ctrlProps/ctrlProp201.xml"/><Relationship Id="rId16" Type="http://schemas.openxmlformats.org/officeDocument/2006/relationships/ctrlProp" Target="../ctrlProps/ctrlProp133.xml"/><Relationship Id="rId11" Type="http://schemas.openxmlformats.org/officeDocument/2006/relationships/ctrlProp" Target="../ctrlProps/ctrlProp128.xml"/><Relationship Id="rId32" Type="http://schemas.openxmlformats.org/officeDocument/2006/relationships/ctrlProp" Target="../ctrlProps/ctrlProp149.xml"/><Relationship Id="rId37" Type="http://schemas.openxmlformats.org/officeDocument/2006/relationships/ctrlProp" Target="../ctrlProps/ctrlProp154.xml"/><Relationship Id="rId53" Type="http://schemas.openxmlformats.org/officeDocument/2006/relationships/ctrlProp" Target="../ctrlProps/ctrlProp170.xml"/><Relationship Id="rId58" Type="http://schemas.openxmlformats.org/officeDocument/2006/relationships/ctrlProp" Target="../ctrlProps/ctrlProp175.xml"/><Relationship Id="rId74" Type="http://schemas.openxmlformats.org/officeDocument/2006/relationships/ctrlProp" Target="../ctrlProps/ctrlProp191.xml"/><Relationship Id="rId79" Type="http://schemas.openxmlformats.org/officeDocument/2006/relationships/ctrlProp" Target="../ctrlProps/ctrlProp196.xml"/><Relationship Id="rId5" Type="http://schemas.openxmlformats.org/officeDocument/2006/relationships/ctrlProp" Target="../ctrlProps/ctrlProp122.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77" Type="http://schemas.openxmlformats.org/officeDocument/2006/relationships/ctrlProp" Target="../ctrlProps/ctrlProp194.xml"/><Relationship Id="rId8" Type="http://schemas.openxmlformats.org/officeDocument/2006/relationships/ctrlProp" Target="../ctrlProps/ctrlProp125.xml"/><Relationship Id="rId51" Type="http://schemas.openxmlformats.org/officeDocument/2006/relationships/ctrlProp" Target="../ctrlProps/ctrlProp168.xml"/><Relationship Id="rId72" Type="http://schemas.openxmlformats.org/officeDocument/2006/relationships/ctrlProp" Target="../ctrlProps/ctrlProp189.xml"/><Relationship Id="rId80" Type="http://schemas.openxmlformats.org/officeDocument/2006/relationships/ctrlProp" Target="../ctrlProps/ctrlProp197.xml"/><Relationship Id="rId85" Type="http://schemas.openxmlformats.org/officeDocument/2006/relationships/ctrlProp" Target="../ctrlProps/ctrlProp202.xml"/><Relationship Id="rId3" Type="http://schemas.openxmlformats.org/officeDocument/2006/relationships/ctrlProp" Target="../ctrlProps/ctrlProp120.x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75" Type="http://schemas.openxmlformats.org/officeDocument/2006/relationships/ctrlProp" Target="../ctrlProps/ctrlProp192.xml"/><Relationship Id="rId83" Type="http://schemas.openxmlformats.org/officeDocument/2006/relationships/ctrlProp" Target="../ctrlProps/ctrlProp200.xml"/><Relationship Id="rId88" Type="http://schemas.openxmlformats.org/officeDocument/2006/relationships/ctrlProp" Target="../ctrlProps/ctrlProp205.xml"/><Relationship Id="rId1" Type="http://schemas.openxmlformats.org/officeDocument/2006/relationships/drawing" Target="../drawings/drawing5.xml"/><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73" Type="http://schemas.openxmlformats.org/officeDocument/2006/relationships/ctrlProp" Target="../ctrlProps/ctrlProp190.xml"/><Relationship Id="rId78" Type="http://schemas.openxmlformats.org/officeDocument/2006/relationships/ctrlProp" Target="../ctrlProps/ctrlProp195.xml"/><Relationship Id="rId81" Type="http://schemas.openxmlformats.org/officeDocument/2006/relationships/ctrlProp" Target="../ctrlProps/ctrlProp198.xml"/><Relationship Id="rId86" Type="http://schemas.openxmlformats.org/officeDocument/2006/relationships/ctrlProp" Target="../ctrlProps/ctrlProp203.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 Id="rId76" Type="http://schemas.openxmlformats.org/officeDocument/2006/relationships/ctrlProp" Target="../ctrlProps/ctrlProp193.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vmlDrawing" Target="../drawings/vmlDrawing5.vml"/><Relationship Id="rId29" Type="http://schemas.openxmlformats.org/officeDocument/2006/relationships/ctrlProp" Target="../ctrlProps/ctrlProp146.xml"/><Relationship Id="rId24" Type="http://schemas.openxmlformats.org/officeDocument/2006/relationships/ctrlProp" Target="../ctrlProps/ctrlProp141.xml"/><Relationship Id="rId40" Type="http://schemas.openxmlformats.org/officeDocument/2006/relationships/ctrlProp" Target="../ctrlProps/ctrlProp157.xml"/><Relationship Id="rId45" Type="http://schemas.openxmlformats.org/officeDocument/2006/relationships/ctrlProp" Target="../ctrlProps/ctrlProp162.xml"/><Relationship Id="rId66" Type="http://schemas.openxmlformats.org/officeDocument/2006/relationships/ctrlProp" Target="../ctrlProps/ctrlProp183.xml"/><Relationship Id="rId87" Type="http://schemas.openxmlformats.org/officeDocument/2006/relationships/ctrlProp" Target="../ctrlProps/ctrlProp204.xml"/><Relationship Id="rId61" Type="http://schemas.openxmlformats.org/officeDocument/2006/relationships/ctrlProp" Target="../ctrlProps/ctrlProp178.xml"/><Relationship Id="rId82" Type="http://schemas.openxmlformats.org/officeDocument/2006/relationships/ctrlProp" Target="../ctrlProps/ctrlProp19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18" Type="http://schemas.openxmlformats.org/officeDocument/2006/relationships/ctrlProp" Target="../ctrlProps/ctrlProp221.xml"/><Relationship Id="rId3" Type="http://schemas.openxmlformats.org/officeDocument/2006/relationships/ctrlProp" Target="../ctrlProps/ctrlProp206.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trlProp" Target="../ctrlProps/ctrlProp220.xml"/><Relationship Id="rId2" Type="http://schemas.openxmlformats.org/officeDocument/2006/relationships/vmlDrawing" Target="../drawings/vmlDrawing6.vml"/><Relationship Id="rId16" Type="http://schemas.openxmlformats.org/officeDocument/2006/relationships/ctrlProp" Target="../ctrlProps/ctrlProp219.xml"/><Relationship Id="rId1" Type="http://schemas.openxmlformats.org/officeDocument/2006/relationships/drawing" Target="../drawings/drawing6.xm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ctrlProp" Target="../ctrlProps/ctrlProp207.x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trlProp" Target="../ctrlProps/ctrlProp22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trlProp" Target="../ctrlProps/ctrlProp22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28.xml"/><Relationship Id="rId3" Type="http://schemas.openxmlformats.org/officeDocument/2006/relationships/vmlDrawing" Target="../drawings/vmlDrawing9.vml"/><Relationship Id="rId7" Type="http://schemas.openxmlformats.org/officeDocument/2006/relationships/ctrlProp" Target="../ctrlProps/ctrlProp227.xml"/><Relationship Id="rId2" Type="http://schemas.openxmlformats.org/officeDocument/2006/relationships/drawing" Target="../drawings/drawing11.xml"/><Relationship Id="rId1" Type="http://schemas.openxmlformats.org/officeDocument/2006/relationships/printerSettings" Target="../printerSettings/printerSettings6.bin"/><Relationship Id="rId6" Type="http://schemas.openxmlformats.org/officeDocument/2006/relationships/ctrlProp" Target="../ctrlProps/ctrlProp226.xml"/><Relationship Id="rId5" Type="http://schemas.openxmlformats.org/officeDocument/2006/relationships/ctrlProp" Target="../ctrlProps/ctrlProp225.xml"/><Relationship Id="rId4" Type="http://schemas.openxmlformats.org/officeDocument/2006/relationships/ctrlProp" Target="../ctrlProps/ctrlProp2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U78"/>
  <sheetViews>
    <sheetView showGridLines="0" showRowColHeaders="0" tabSelected="1" zoomScale="164" zoomScaleNormal="164" zoomScalePageLayoutView="200" workbookViewId="0">
      <selection activeCell="B8" sqref="B8:B9"/>
    </sheetView>
  </sheetViews>
  <sheetFormatPr baseColWidth="10" defaultColWidth="11.28515625" defaultRowHeight="12.75"/>
  <cols>
    <col min="1" max="1" width="3.140625" style="225" customWidth="1"/>
    <col min="2" max="2" width="38.140625" style="225" customWidth="1"/>
    <col min="3" max="3" width="5.140625" style="225" customWidth="1"/>
    <col min="4" max="4" width="2.7109375" style="225" customWidth="1"/>
    <col min="5" max="6" width="8" style="225" customWidth="1"/>
    <col min="7" max="7" width="8.85546875" style="225" customWidth="1"/>
    <col min="8" max="8" width="8.28515625" style="225" customWidth="1"/>
    <col min="9" max="9" width="3.85546875" style="225" customWidth="1"/>
    <col min="10" max="10" width="1.85546875" style="225" customWidth="1"/>
    <col min="11" max="11" width="11.85546875" style="225" customWidth="1"/>
    <col min="12" max="12" width="9.85546875" style="225" customWidth="1"/>
    <col min="13" max="13" width="8" style="225" customWidth="1"/>
    <col min="14" max="14" width="7.7109375" style="225" customWidth="1"/>
    <col min="15" max="15" width="2.140625" style="225" customWidth="1"/>
    <col min="16" max="16" width="2" style="225" customWidth="1"/>
    <col min="17" max="17" width="5.85546875" style="225" customWidth="1"/>
    <col min="18" max="19" width="10.140625" style="225" customWidth="1"/>
    <col min="20" max="20" width="2" style="225" customWidth="1"/>
    <col min="21" max="16384" width="11.28515625" style="225"/>
  </cols>
  <sheetData>
    <row r="1" spans="1:21" ht="21" customHeight="1">
      <c r="A1" s="366">
        <v>1</v>
      </c>
      <c r="B1" s="224"/>
      <c r="L1" s="226"/>
    </row>
    <row r="2" spans="1:21" ht="15.75" customHeight="1" thickBot="1">
      <c r="A2" s="227"/>
      <c r="B2" s="255" t="s">
        <v>739</v>
      </c>
      <c r="C2" s="228"/>
      <c r="D2" s="229"/>
      <c r="E2" s="252" t="s">
        <v>730</v>
      </c>
      <c r="G2" s="230" t="s">
        <v>398</v>
      </c>
      <c r="H2" s="231"/>
      <c r="K2" s="462" t="s">
        <v>738</v>
      </c>
      <c r="L2" s="463"/>
      <c r="M2" s="463"/>
      <c r="N2" s="463"/>
      <c r="O2" s="463"/>
      <c r="P2" s="463"/>
      <c r="Q2" s="463"/>
      <c r="R2" s="463"/>
      <c r="S2" s="463"/>
    </row>
    <row r="3" spans="1:21" ht="20.25" customHeight="1" thickTop="1" thickBot="1">
      <c r="A3" s="229"/>
      <c r="B3" s="386">
        <v>45337.840324074074</v>
      </c>
      <c r="C3" s="226" t="e">
        <f>IF(D3=0,FIND(".",E3),0)</f>
        <v>#VALUE!</v>
      </c>
      <c r="D3" s="226">
        <f>IF(ISNUMBER(E3),1,0)</f>
        <v>0</v>
      </c>
      <c r="E3" s="282"/>
      <c r="F3" s="232" t="s">
        <v>726</v>
      </c>
      <c r="G3" s="282"/>
      <c r="H3" s="260" t="s">
        <v>741</v>
      </c>
      <c r="K3" s="463"/>
      <c r="L3" s="463"/>
      <c r="M3" s="463"/>
      <c r="N3" s="463"/>
      <c r="O3" s="463"/>
      <c r="P3" s="463"/>
      <c r="Q3" s="463"/>
      <c r="R3" s="463"/>
      <c r="S3" s="463"/>
    </row>
    <row r="4" spans="1:21" ht="15" customHeight="1" thickTop="1">
      <c r="B4" s="254" t="s">
        <v>774</v>
      </c>
      <c r="C4" s="226"/>
      <c r="D4" s="226">
        <f>IF(ISNUMBER(G3),1,0)</f>
        <v>0</v>
      </c>
      <c r="E4" s="253"/>
      <c r="G4" s="261"/>
      <c r="O4" s="233"/>
    </row>
    <row r="5" spans="1:21" ht="5.0999999999999996" customHeight="1">
      <c r="D5" s="229"/>
      <c r="I5" s="234"/>
      <c r="O5" s="233"/>
    </row>
    <row r="6" spans="1:21" ht="18" customHeight="1">
      <c r="A6" s="235"/>
      <c r="E6" s="236"/>
      <c r="F6" s="236"/>
      <c r="G6" s="236"/>
      <c r="H6" s="236"/>
      <c r="K6" s="236"/>
      <c r="L6" s="236"/>
      <c r="M6" s="236"/>
      <c r="N6" s="236"/>
      <c r="O6" s="237"/>
      <c r="P6" s="236"/>
      <c r="Q6" s="236"/>
      <c r="R6" s="236"/>
      <c r="S6" s="236"/>
    </row>
    <row r="7" spans="1:21" ht="18.75" customHeight="1" thickBot="1">
      <c r="B7" s="255" t="s">
        <v>731</v>
      </c>
      <c r="E7" s="236"/>
      <c r="F7" s="236"/>
      <c r="G7" s="236"/>
      <c r="H7" s="236"/>
      <c r="K7" s="236"/>
      <c r="L7" s="236"/>
      <c r="M7" s="236"/>
      <c r="N7" s="236"/>
      <c r="O7" s="237"/>
      <c r="P7" s="236"/>
      <c r="Q7" s="236"/>
      <c r="R7" s="236"/>
      <c r="S7" s="236"/>
      <c r="U7" s="226" t="str">
        <f ca="1">INFO("SYSTEM")</f>
        <v>pcdos</v>
      </c>
    </row>
    <row r="8" spans="1:21" ht="16.5" customHeight="1" thickTop="1">
      <c r="B8" s="465" t="s">
        <v>112</v>
      </c>
      <c r="D8" s="229"/>
      <c r="E8" s="238"/>
      <c r="F8" s="238"/>
      <c r="G8" s="238"/>
      <c r="H8" s="238"/>
      <c r="K8" s="236"/>
      <c r="L8" s="236"/>
      <c r="M8" s="236"/>
      <c r="N8" s="236"/>
      <c r="O8" s="237"/>
      <c r="P8" s="236"/>
      <c r="Q8" s="236"/>
      <c r="R8" s="236"/>
      <c r="S8" s="236"/>
      <c r="U8" s="226">
        <f ca="1">IF(LEFT(U7,1)="p",1,0)</f>
        <v>1</v>
      </c>
    </row>
    <row r="9" spans="1:21" ht="16.5" customHeight="1" thickBot="1">
      <c r="B9" s="466"/>
      <c r="E9" s="236"/>
      <c r="F9" s="236"/>
      <c r="G9" s="236"/>
      <c r="H9" s="236"/>
      <c r="K9" s="236"/>
      <c r="L9" s="236"/>
      <c r="M9" s="236"/>
      <c r="N9" s="236"/>
      <c r="O9" s="237"/>
      <c r="P9" s="236"/>
      <c r="Q9" s="236"/>
      <c r="R9" s="236"/>
      <c r="S9" s="236"/>
    </row>
    <row r="10" spans="1:21" ht="7.5" customHeight="1" thickTop="1">
      <c r="E10" s="236"/>
      <c r="F10" s="236"/>
      <c r="G10" s="236"/>
      <c r="H10" s="236"/>
      <c r="K10" s="468"/>
      <c r="L10" s="468"/>
      <c r="M10" s="468"/>
      <c r="N10" s="236"/>
      <c r="O10" s="237"/>
      <c r="P10" s="236"/>
      <c r="Q10" s="236"/>
      <c r="R10" s="236"/>
      <c r="S10" s="236"/>
    </row>
    <row r="11" spans="1:21" ht="7.5" customHeight="1">
      <c r="E11" s="236"/>
      <c r="F11" s="236"/>
      <c r="G11" s="236"/>
      <c r="H11" s="236"/>
      <c r="K11" s="469"/>
      <c r="L11" s="470"/>
      <c r="M11" s="470"/>
      <c r="N11" s="236"/>
      <c r="O11" s="237"/>
      <c r="P11" s="236"/>
      <c r="Q11" s="236"/>
      <c r="R11" s="236"/>
      <c r="S11" s="236"/>
    </row>
    <row r="12" spans="1:21" ht="16.5" customHeight="1" thickBot="1">
      <c r="A12" s="235"/>
      <c r="B12" s="280" t="s">
        <v>391</v>
      </c>
      <c r="C12" s="228"/>
      <c r="E12" s="236"/>
      <c r="F12" s="236"/>
      <c r="G12" s="236"/>
      <c r="H12" s="236"/>
      <c r="K12" s="239"/>
      <c r="L12" s="240"/>
      <c r="M12" s="240"/>
      <c r="N12" s="236"/>
      <c r="O12" s="237"/>
      <c r="P12" s="236"/>
      <c r="Q12" s="236"/>
      <c r="R12" s="236"/>
      <c r="S12" s="236"/>
    </row>
    <row r="13" spans="1:21" ht="24" customHeight="1" thickTop="1" thickBot="1">
      <c r="B13" s="281"/>
      <c r="E13" s="236"/>
      <c r="F13" s="236"/>
      <c r="G13" s="236"/>
      <c r="H13" s="236"/>
      <c r="K13" s="241" t="s">
        <v>576</v>
      </c>
      <c r="L13" s="242"/>
      <c r="M13" s="242"/>
      <c r="Q13" s="243"/>
    </row>
    <row r="14" spans="1:21" ht="13.5" customHeight="1" thickTop="1">
      <c r="B14" s="254" t="s">
        <v>732</v>
      </c>
      <c r="E14" s="236"/>
      <c r="F14" s="236"/>
      <c r="G14" s="236"/>
      <c r="H14" s="236"/>
      <c r="K14" s="455"/>
      <c r="L14" s="471"/>
      <c r="M14" s="471"/>
      <c r="N14" s="471"/>
      <c r="O14" s="456"/>
      <c r="P14" s="456"/>
      <c r="Q14" s="457" t="str">
        <f>IF(Archive1!$C$51="","","è ")</f>
        <v/>
      </c>
      <c r="R14" s="464" t="str">
        <f>IF(Archive1!$C$51="","",(Archive1!$C$51)&amp;" "&amp;("(sévérité : "&amp;Archive1!$E$51&amp;"/4)"))</f>
        <v/>
      </c>
      <c r="S14" s="464"/>
    </row>
    <row r="15" spans="1:21" ht="11.25" customHeight="1">
      <c r="B15" s="272">
        <f>YEAR(B3)-YEAR(B13)</f>
        <v>124</v>
      </c>
      <c r="C15" s="231"/>
      <c r="E15" s="238"/>
      <c r="F15" s="238"/>
      <c r="G15" s="238"/>
      <c r="H15" s="238"/>
      <c r="K15" s="467"/>
      <c r="L15" s="467"/>
      <c r="M15" s="467"/>
      <c r="N15" s="467"/>
      <c r="O15" s="456"/>
      <c r="P15" s="456"/>
      <c r="Q15" s="458"/>
      <c r="R15" s="464"/>
      <c r="S15" s="464"/>
    </row>
    <row r="16" spans="1:21" ht="16.5" customHeight="1">
      <c r="A16" s="244"/>
      <c r="B16" s="331" t="s">
        <v>413</v>
      </c>
      <c r="K16" s="455"/>
      <c r="L16" s="455"/>
      <c r="M16" s="455"/>
      <c r="N16" s="455"/>
      <c r="O16" s="456"/>
      <c r="P16" s="456"/>
      <c r="Q16" s="457"/>
      <c r="R16" s="459"/>
      <c r="S16" s="456"/>
    </row>
    <row r="17" spans="1:19" ht="15" customHeight="1">
      <c r="E17" s="236"/>
      <c r="F17" s="236"/>
      <c r="G17" s="236"/>
      <c r="H17" s="236"/>
      <c r="K17" s="455"/>
      <c r="L17" s="471"/>
      <c r="M17" s="471"/>
      <c r="N17" s="471"/>
      <c r="O17" s="456"/>
      <c r="P17" s="456"/>
      <c r="Q17" s="457" t="str">
        <f>IF(Archive2!C51="","","è ")</f>
        <v/>
      </c>
      <c r="R17" s="464" t="str">
        <f>IF(Archive2!$C$51="","",(Archive2!$C$51)&amp;" "&amp;("(sévérité : "&amp;Archive2!$E$51&amp;"/4)"))</f>
        <v/>
      </c>
      <c r="S17" s="464"/>
    </row>
    <row r="18" spans="1:19" ht="15" customHeight="1">
      <c r="A18" s="245"/>
      <c r="E18" s="236"/>
      <c r="F18" s="236"/>
      <c r="G18" s="236"/>
      <c r="H18" s="236"/>
      <c r="K18" s="467"/>
      <c r="L18" s="467"/>
      <c r="M18" s="467"/>
      <c r="N18" s="467"/>
      <c r="O18" s="456"/>
      <c r="P18" s="456"/>
      <c r="Q18" s="456"/>
      <c r="R18" s="464"/>
      <c r="S18" s="464"/>
    </row>
    <row r="19" spans="1:19" ht="16.5" customHeight="1">
      <c r="A19" s="235"/>
      <c r="B19" s="255" t="s">
        <v>427</v>
      </c>
      <c r="C19" s="231"/>
      <c r="E19" s="236"/>
      <c r="F19" s="236"/>
      <c r="G19" s="236"/>
      <c r="H19" s="236"/>
      <c r="K19" s="455"/>
      <c r="L19" s="455"/>
      <c r="M19" s="455"/>
      <c r="N19" s="455"/>
      <c r="O19" s="456"/>
      <c r="P19" s="456"/>
      <c r="Q19" s="456"/>
      <c r="R19" s="459"/>
      <c r="S19" s="456"/>
    </row>
    <row r="20" spans="1:19" ht="16.5" customHeight="1">
      <c r="A20" s="235"/>
      <c r="B20" s="255"/>
      <c r="C20" s="231"/>
      <c r="E20" s="236"/>
      <c r="F20" s="236"/>
      <c r="G20" s="236"/>
      <c r="H20" s="236"/>
      <c r="K20" s="455"/>
      <c r="L20" s="471"/>
      <c r="M20" s="472"/>
      <c r="N20" s="472"/>
      <c r="O20" s="456"/>
      <c r="P20" s="456"/>
      <c r="Q20" s="457" t="str">
        <f>IF(Archive3!C51="","","è ")</f>
        <v/>
      </c>
      <c r="R20" s="464" t="str">
        <f>IF(Archive3!$C$51="","",(Archive3!$C$51)&amp;" "&amp;("(sévérité : "&amp;Archive3!$E$51&amp;"/4)"))</f>
        <v/>
      </c>
      <c r="S20" s="464"/>
    </row>
    <row r="21" spans="1:19" ht="15" customHeight="1">
      <c r="K21" s="467"/>
      <c r="L21" s="467"/>
      <c r="M21" s="467"/>
      <c r="N21" s="467"/>
      <c r="O21" s="456"/>
      <c r="P21" s="456"/>
      <c r="Q21" s="456"/>
      <c r="R21" s="464"/>
      <c r="S21" s="464"/>
    </row>
    <row r="22" spans="1:19" ht="15" customHeight="1">
      <c r="E22" s="236"/>
      <c r="F22" s="236"/>
      <c r="G22" s="236"/>
      <c r="H22" s="236"/>
      <c r="K22" s="455"/>
      <c r="L22" s="455"/>
      <c r="M22" s="455"/>
      <c r="N22" s="455"/>
      <c r="O22" s="456"/>
      <c r="P22" s="456"/>
      <c r="Q22" s="457"/>
      <c r="R22" s="459"/>
      <c r="S22" s="456"/>
    </row>
    <row r="23" spans="1:19" ht="15" customHeight="1">
      <c r="B23" s="283" t="s">
        <v>724</v>
      </c>
      <c r="E23" s="236"/>
      <c r="F23" s="236"/>
      <c r="G23" s="236"/>
      <c r="H23" s="236"/>
      <c r="K23" s="455"/>
      <c r="L23" s="471"/>
      <c r="M23" s="471"/>
      <c r="N23" s="471"/>
      <c r="O23" s="456"/>
      <c r="P23" s="456"/>
      <c r="Q23" s="457" t="str">
        <f>IF(Archive4!C51="","","è ")</f>
        <v/>
      </c>
      <c r="R23" s="464" t="str">
        <f>IF(Archive4!$C$51="","",(Archive4!$C$51)&amp;" "&amp;("(sévérité : "&amp;Archive4!$E$51&amp;"/4)"))</f>
        <v/>
      </c>
      <c r="S23" s="464"/>
    </row>
    <row r="24" spans="1:19" ht="15" customHeight="1">
      <c r="B24" s="284" t="str">
        <f>IF(E3*G3=0,"",IF(recueil!E5=1,ROUND(B26,0),ROUND(B27,0)) &amp; " Kcal")</f>
        <v/>
      </c>
      <c r="E24" s="236"/>
      <c r="F24" s="236"/>
      <c r="G24" s="236"/>
      <c r="H24" s="236"/>
      <c r="K24" s="467"/>
      <c r="L24" s="467"/>
      <c r="M24" s="467"/>
      <c r="N24" s="467"/>
      <c r="O24" s="456"/>
      <c r="P24" s="456"/>
      <c r="Q24" s="457"/>
      <c r="R24" s="464"/>
      <c r="S24" s="464"/>
    </row>
    <row r="25" spans="1:19" ht="15" customHeight="1">
      <c r="B25" s="246" t="s">
        <v>725</v>
      </c>
      <c r="E25" s="236"/>
      <c r="F25" s="236"/>
      <c r="G25" s="236"/>
      <c r="H25" s="236"/>
      <c r="K25" s="455"/>
      <c r="L25" s="455"/>
      <c r="M25" s="455"/>
      <c r="N25" s="455"/>
      <c r="O25" s="456"/>
      <c r="P25" s="456"/>
      <c r="Q25" s="456"/>
      <c r="R25" s="459"/>
      <c r="S25" s="456"/>
    </row>
    <row r="26" spans="1:19" ht="15" customHeight="1">
      <c r="B26" s="273">
        <f>IF(recueil!E$6="","",(9.5634*E$3)+(184.96*G$3)-4.6756*B$15)+655.1</f>
        <v>75.325600000000009</v>
      </c>
      <c r="E26" s="236"/>
      <c r="F26" s="236"/>
      <c r="G26" s="236"/>
      <c r="H26" s="236"/>
      <c r="K26" s="455"/>
      <c r="L26" s="471"/>
      <c r="M26" s="471"/>
      <c r="N26" s="471"/>
      <c r="O26" s="456"/>
      <c r="P26" s="456"/>
      <c r="Q26" s="457" t="str">
        <f>IF(Archive5!C51="","","è ")</f>
        <v/>
      </c>
      <c r="R26" s="464" t="str">
        <f>IF(Archive5!$C$51="","",(Archive5!$C$51)&amp;" "&amp;("(sévérité : "&amp;Archive5!$E$51&amp;"/4)"))</f>
        <v/>
      </c>
      <c r="S26" s="464"/>
    </row>
    <row r="27" spans="1:19" ht="15" customHeight="1">
      <c r="B27" s="273">
        <f>IF(recueil!E$6="","",(13.7516*E$3)+(500.33*G$3)-6.755*B$15)+66.473</f>
        <v>-771.14700000000005</v>
      </c>
      <c r="E27" s="236"/>
      <c r="F27" s="236"/>
      <c r="G27" s="236"/>
      <c r="H27" s="236"/>
      <c r="K27" s="467"/>
      <c r="L27" s="467"/>
      <c r="M27" s="467"/>
      <c r="N27" s="467"/>
      <c r="O27" s="456"/>
      <c r="P27" s="456"/>
      <c r="Q27" s="456"/>
      <c r="R27" s="464"/>
      <c r="S27" s="464"/>
    </row>
    <row r="28" spans="1:19">
      <c r="R28" s="460"/>
    </row>
    <row r="29" spans="1:19">
      <c r="B29" s="256"/>
      <c r="C29" s="256"/>
      <c r="D29" s="256"/>
      <c r="E29" s="256"/>
      <c r="F29" s="256"/>
      <c r="G29" s="256"/>
      <c r="H29" s="256"/>
      <c r="I29" s="256"/>
      <c r="J29" s="256"/>
      <c r="K29" s="256"/>
      <c r="L29" s="256"/>
      <c r="M29" s="256"/>
      <c r="N29" s="256"/>
      <c r="O29" s="256"/>
      <c r="P29" s="256"/>
      <c r="Q29" s="256"/>
      <c r="R29" s="256"/>
    </row>
    <row r="30" spans="1:19">
      <c r="B30" s="256"/>
      <c r="C30" s="256"/>
      <c r="D30" s="256"/>
      <c r="E30" s="256"/>
      <c r="F30" s="256"/>
      <c r="G30" s="256"/>
      <c r="H30" s="256"/>
      <c r="I30" s="256"/>
      <c r="J30" s="256"/>
      <c r="K30" s="256"/>
      <c r="L30" s="256"/>
      <c r="M30" s="256"/>
      <c r="N30" s="256"/>
      <c r="O30" s="256"/>
      <c r="P30" s="256"/>
      <c r="Q30" s="256"/>
      <c r="R30" s="256"/>
    </row>
    <row r="31" spans="1:19">
      <c r="B31" s="256"/>
      <c r="C31" s="256"/>
      <c r="D31" s="256"/>
      <c r="E31" s="256"/>
      <c r="F31" s="256"/>
      <c r="G31" s="256"/>
      <c r="H31" s="256"/>
      <c r="I31" s="256"/>
      <c r="J31" s="256"/>
      <c r="K31" s="256"/>
      <c r="L31" s="256"/>
      <c r="M31" s="256"/>
      <c r="N31" s="256"/>
      <c r="O31" s="256"/>
      <c r="P31" s="256"/>
      <c r="Q31" s="256"/>
      <c r="R31" s="256"/>
    </row>
    <row r="32" spans="1:19">
      <c r="B32" s="256"/>
      <c r="C32" s="256"/>
      <c r="D32" s="256"/>
      <c r="E32" s="256"/>
      <c r="F32" s="256"/>
      <c r="G32" s="256"/>
      <c r="H32" s="256"/>
      <c r="I32" s="256"/>
      <c r="J32" s="256"/>
      <c r="K32" s="256"/>
      <c r="L32" s="256"/>
      <c r="M32" s="256"/>
      <c r="N32" s="256"/>
      <c r="O32" s="256"/>
      <c r="P32" s="256"/>
      <c r="Q32" s="256"/>
      <c r="R32" s="256"/>
    </row>
    <row r="33" spans="2:19">
      <c r="B33" s="332">
        <f ca="1">NOW()</f>
        <v>45337.840687384261</v>
      </c>
      <c r="C33" s="256"/>
      <c r="D33" s="256"/>
      <c r="E33" s="256"/>
      <c r="F33" s="256"/>
      <c r="G33" s="256"/>
      <c r="H33" s="256"/>
      <c r="I33" s="256"/>
      <c r="J33" s="256"/>
      <c r="K33" s="256"/>
      <c r="L33" s="256"/>
      <c r="M33" s="256"/>
      <c r="N33" s="256"/>
      <c r="O33" s="256"/>
      <c r="P33" s="256"/>
      <c r="Q33" s="256"/>
      <c r="R33" s="256"/>
    </row>
    <row r="34" spans="2:19">
      <c r="B34" s="272">
        <f ca="1">(_xlfn.DAYS(B33,B13))/365</f>
        <v>124.21095890410959</v>
      </c>
      <c r="C34" s="256"/>
      <c r="D34" s="256"/>
      <c r="E34" s="256"/>
      <c r="F34" s="256"/>
      <c r="G34" s="256"/>
      <c r="H34" s="256"/>
      <c r="I34" s="256"/>
      <c r="J34" s="256"/>
      <c r="K34" s="256"/>
      <c r="L34" s="256"/>
      <c r="M34" s="256"/>
      <c r="N34" s="256"/>
      <c r="O34" s="256"/>
      <c r="P34" s="256"/>
      <c r="Q34" s="256"/>
      <c r="R34" s="256"/>
    </row>
    <row r="35" spans="2:19">
      <c r="B35" s="256"/>
      <c r="C35" s="256"/>
      <c r="D35" s="256"/>
      <c r="E35" s="256"/>
      <c r="F35" s="256"/>
      <c r="G35" s="256"/>
      <c r="H35" s="256"/>
      <c r="I35" s="256"/>
      <c r="J35" s="256"/>
      <c r="K35" s="256"/>
      <c r="L35" s="256"/>
      <c r="M35" s="256"/>
      <c r="N35" s="256"/>
      <c r="O35" s="256"/>
      <c r="P35" s="256"/>
      <c r="Q35" s="256"/>
      <c r="R35" s="256"/>
      <c r="S35" s="251"/>
    </row>
    <row r="36" spans="2:19">
      <c r="B36" s="256"/>
      <c r="C36" s="256"/>
      <c r="D36" s="256"/>
      <c r="E36" s="256"/>
      <c r="F36" s="256"/>
      <c r="G36" s="256"/>
      <c r="H36" s="256"/>
      <c r="I36" s="256"/>
      <c r="J36" s="256"/>
      <c r="K36" s="256"/>
      <c r="L36" s="256"/>
      <c r="M36" s="256"/>
      <c r="N36" s="256"/>
      <c r="O36" s="256"/>
      <c r="P36" s="256"/>
      <c r="Q36" s="256"/>
      <c r="R36" s="256"/>
      <c r="S36" s="251"/>
    </row>
    <row r="37" spans="2:19">
      <c r="B37" s="289"/>
      <c r="C37" s="256"/>
      <c r="D37" s="256"/>
      <c r="E37" s="256"/>
      <c r="F37" s="256"/>
      <c r="G37" s="256"/>
      <c r="H37" s="256"/>
      <c r="I37" s="256"/>
      <c r="J37" s="256"/>
      <c r="K37" s="256"/>
      <c r="L37" s="256"/>
      <c r="M37" s="256"/>
      <c r="N37" s="256"/>
      <c r="O37" s="256"/>
      <c r="P37" s="256"/>
      <c r="Q37" s="256"/>
      <c r="R37" s="256"/>
      <c r="S37" s="251"/>
    </row>
    <row r="38" spans="2:19">
      <c r="B38" s="256"/>
      <c r="C38" s="256"/>
      <c r="D38" s="256"/>
      <c r="E38" s="256"/>
      <c r="F38" s="256"/>
      <c r="G38" s="256"/>
      <c r="H38" s="256"/>
      <c r="I38" s="256"/>
      <c r="J38" s="256"/>
      <c r="K38" s="256"/>
      <c r="L38" s="256"/>
      <c r="M38" s="256"/>
      <c r="N38" s="256"/>
      <c r="O38" s="256"/>
      <c r="P38" s="256"/>
      <c r="Q38" s="256"/>
      <c r="R38" s="256"/>
      <c r="S38" s="251"/>
    </row>
    <row r="39" spans="2:19">
      <c r="B39" s="256"/>
      <c r="C39" s="256"/>
      <c r="D39" s="256"/>
      <c r="E39" s="256"/>
      <c r="F39" s="256"/>
      <c r="G39" s="256"/>
      <c r="H39" s="256"/>
      <c r="I39" s="256"/>
      <c r="J39" s="256"/>
      <c r="K39" s="256"/>
      <c r="L39" s="256"/>
      <c r="M39" s="256"/>
      <c r="N39" s="256"/>
      <c r="O39" s="256"/>
      <c r="P39" s="256"/>
      <c r="Q39" s="256"/>
      <c r="R39" s="256"/>
      <c r="S39" s="251"/>
    </row>
    <row r="40" spans="2:19">
      <c r="B40" s="251"/>
      <c r="C40" s="251"/>
      <c r="D40" s="251"/>
      <c r="E40" s="251"/>
      <c r="F40" s="251"/>
      <c r="G40" s="251"/>
      <c r="H40" s="251"/>
      <c r="I40" s="256"/>
      <c r="J40" s="256"/>
      <c r="K40" s="256"/>
      <c r="L40" s="256"/>
      <c r="M40" s="256"/>
      <c r="N40" s="256"/>
      <c r="O40" s="256"/>
      <c r="P40" s="256"/>
      <c r="Q40" s="256"/>
      <c r="R40" s="256"/>
      <c r="S40" s="251"/>
    </row>
    <row r="41" spans="2:19">
      <c r="B41" s="251"/>
      <c r="C41" s="251"/>
      <c r="D41" s="251"/>
      <c r="E41" s="251"/>
      <c r="F41" s="251"/>
      <c r="G41" s="333"/>
      <c r="H41" s="334"/>
      <c r="I41" s="258"/>
      <c r="J41" s="257"/>
      <c r="K41" s="258"/>
      <c r="L41" s="258"/>
      <c r="M41" s="256"/>
      <c r="N41" s="256"/>
      <c r="O41" s="256"/>
      <c r="P41" s="256"/>
      <c r="Q41" s="256"/>
      <c r="R41" s="256"/>
      <c r="S41" s="251"/>
    </row>
    <row r="42" spans="2:19">
      <c r="B42" s="251"/>
      <c r="C42" s="251"/>
      <c r="D42" s="251"/>
      <c r="E42" s="251"/>
      <c r="F42" s="251"/>
      <c r="G42" s="334"/>
      <c r="H42" s="334"/>
      <c r="I42" s="258"/>
      <c r="J42" s="258"/>
      <c r="K42" s="258"/>
      <c r="L42" s="258"/>
      <c r="M42" s="256"/>
      <c r="N42" s="256"/>
      <c r="O42" s="256"/>
      <c r="P42" s="256"/>
      <c r="Q42" s="256"/>
      <c r="R42" s="256"/>
      <c r="S42" s="251"/>
    </row>
    <row r="43" spans="2:19">
      <c r="B43" s="251"/>
      <c r="C43" s="251"/>
      <c r="D43" s="251"/>
      <c r="E43" s="251"/>
      <c r="F43" s="335"/>
      <c r="G43" s="335"/>
      <c r="H43" s="334"/>
      <c r="I43" s="258"/>
      <c r="J43" s="258"/>
      <c r="K43" s="258"/>
      <c r="L43" s="258"/>
      <c r="M43" s="256"/>
      <c r="N43" s="256"/>
      <c r="O43" s="256"/>
      <c r="P43" s="256"/>
      <c r="Q43" s="256"/>
      <c r="R43" s="256"/>
      <c r="S43" s="251"/>
    </row>
    <row r="44" spans="2:19">
      <c r="B44" s="336">
        <f>IF(B13="",0,(B3-B13)/365)</f>
        <v>0</v>
      </c>
      <c r="C44" s="251"/>
      <c r="D44" s="251"/>
      <c r="E44" s="251"/>
      <c r="F44" s="335"/>
      <c r="G44" s="335"/>
      <c r="H44" s="334"/>
      <c r="I44" s="258"/>
      <c r="J44" s="258"/>
      <c r="K44" s="258"/>
      <c r="L44" s="258"/>
      <c r="M44" s="256"/>
      <c r="N44" s="256"/>
      <c r="O44" s="256"/>
      <c r="P44" s="256"/>
      <c r="Q44" s="256"/>
      <c r="R44" s="256"/>
      <c r="S44" s="251"/>
    </row>
    <row r="45" spans="2:19">
      <c r="B45" s="251"/>
      <c r="C45" s="251"/>
      <c r="D45" s="251"/>
      <c r="E45" s="251"/>
      <c r="F45" s="334"/>
      <c r="G45" s="334"/>
      <c r="H45" s="334"/>
      <c r="I45" s="258"/>
      <c r="J45" s="258"/>
      <c r="K45" s="258"/>
      <c r="L45" s="258"/>
      <c r="M45" s="256"/>
      <c r="N45" s="256"/>
      <c r="O45" s="256"/>
      <c r="P45" s="256"/>
      <c r="Q45" s="256"/>
      <c r="R45" s="256"/>
      <c r="S45" s="251"/>
    </row>
    <row r="46" spans="2:19">
      <c r="B46" s="251"/>
      <c r="C46" s="251"/>
      <c r="D46" s="251"/>
      <c r="E46" s="251"/>
      <c r="F46" s="334"/>
      <c r="G46" s="334"/>
      <c r="H46" s="334"/>
      <c r="I46" s="258"/>
      <c r="J46" s="258"/>
      <c r="K46" s="258"/>
      <c r="L46" s="258"/>
      <c r="M46" s="256"/>
      <c r="N46" s="256"/>
      <c r="O46" s="256"/>
      <c r="P46" s="256"/>
      <c r="Q46" s="256"/>
      <c r="R46" s="256"/>
      <c r="S46" s="251"/>
    </row>
    <row r="47" spans="2:19">
      <c r="B47" s="251"/>
      <c r="C47" s="251"/>
      <c r="D47" s="251"/>
      <c r="E47" s="251"/>
      <c r="F47" s="334"/>
      <c r="G47" s="334"/>
      <c r="H47" s="334"/>
      <c r="I47" s="258"/>
      <c r="J47" s="258"/>
      <c r="K47" s="258"/>
      <c r="L47" s="258"/>
      <c r="M47" s="256"/>
      <c r="N47" s="256"/>
      <c r="O47" s="256"/>
      <c r="P47" s="256"/>
      <c r="Q47" s="256"/>
      <c r="R47" s="256"/>
      <c r="S47" s="251"/>
    </row>
    <row r="48" spans="2:19">
      <c r="B48" s="256"/>
      <c r="C48" s="256"/>
      <c r="D48" s="256"/>
      <c r="E48" s="256"/>
      <c r="F48" s="256"/>
      <c r="G48" s="256"/>
      <c r="H48" s="256"/>
      <c r="I48" s="256"/>
      <c r="J48" s="256"/>
      <c r="K48" s="256"/>
      <c r="L48" s="256"/>
      <c r="M48" s="256"/>
      <c r="N48" s="256"/>
      <c r="O48" s="256"/>
      <c r="P48" s="256"/>
      <c r="Q48" s="256"/>
      <c r="R48" s="256"/>
      <c r="S48" s="251"/>
    </row>
    <row r="49" spans="2:19">
      <c r="B49" s="256"/>
      <c r="C49" s="256"/>
      <c r="D49" s="256"/>
      <c r="E49" s="256"/>
      <c r="F49" s="256"/>
      <c r="G49" s="256"/>
      <c r="H49" s="256"/>
      <c r="I49" s="256"/>
      <c r="J49" s="256"/>
      <c r="K49" s="256"/>
      <c r="L49" s="256"/>
      <c r="M49" s="256"/>
      <c r="N49" s="256"/>
      <c r="O49" s="256"/>
      <c r="P49" s="256"/>
      <c r="Q49" s="256"/>
      <c r="R49" s="256"/>
      <c r="S49" s="251"/>
    </row>
    <row r="50" spans="2:19">
      <c r="B50" s="256"/>
      <c r="C50" s="256"/>
      <c r="D50" s="256"/>
      <c r="E50" s="256"/>
      <c r="F50" s="256"/>
      <c r="G50" s="257"/>
      <c r="H50" s="258"/>
      <c r="I50" s="258"/>
      <c r="J50" s="257"/>
      <c r="K50" s="258"/>
      <c r="L50" s="258"/>
      <c r="M50" s="256"/>
      <c r="N50" s="256"/>
      <c r="O50" s="256"/>
      <c r="P50" s="256"/>
      <c r="Q50" s="256"/>
      <c r="R50" s="256"/>
      <c r="S50" s="251"/>
    </row>
    <row r="51" spans="2:19">
      <c r="B51" s="256"/>
      <c r="C51" s="256"/>
      <c r="D51" s="256"/>
      <c r="E51" s="256"/>
      <c r="F51" s="256"/>
      <c r="G51" s="258"/>
      <c r="H51" s="258"/>
      <c r="I51" s="258"/>
      <c r="J51" s="258"/>
      <c r="K51" s="258"/>
      <c r="L51" s="258"/>
      <c r="M51" s="256"/>
      <c r="N51" s="256"/>
      <c r="O51" s="256"/>
      <c r="P51" s="256"/>
      <c r="Q51" s="256"/>
      <c r="R51" s="256"/>
      <c r="S51" s="251"/>
    </row>
    <row r="52" spans="2:19">
      <c r="B52" s="256"/>
      <c r="C52" s="256"/>
      <c r="D52" s="256"/>
      <c r="E52" s="256"/>
      <c r="F52" s="259"/>
      <c r="G52" s="259"/>
      <c r="H52" s="258"/>
      <c r="I52" s="258"/>
      <c r="J52" s="258"/>
      <c r="K52" s="258"/>
      <c r="L52" s="258"/>
      <c r="M52" s="256"/>
      <c r="N52" s="256"/>
      <c r="O52" s="256"/>
      <c r="P52" s="256"/>
      <c r="Q52" s="256"/>
      <c r="R52" s="256"/>
      <c r="S52" s="251"/>
    </row>
    <row r="53" spans="2:19">
      <c r="B53" s="256"/>
      <c r="C53" s="256"/>
      <c r="D53" s="256"/>
      <c r="E53" s="256"/>
      <c r="F53" s="259"/>
      <c r="G53" s="259"/>
      <c r="H53" s="258"/>
      <c r="I53" s="258"/>
      <c r="J53" s="258"/>
      <c r="K53" s="258"/>
      <c r="L53" s="258"/>
      <c r="M53" s="256"/>
      <c r="N53" s="256"/>
      <c r="O53" s="256"/>
      <c r="P53" s="256"/>
      <c r="Q53" s="256"/>
      <c r="R53" s="256"/>
      <c r="S53" s="251"/>
    </row>
    <row r="54" spans="2:19">
      <c r="B54" s="256"/>
      <c r="C54" s="256"/>
      <c r="D54" s="256"/>
      <c r="E54" s="256"/>
      <c r="F54" s="258"/>
      <c r="G54" s="258"/>
      <c r="H54" s="258"/>
      <c r="I54" s="258"/>
      <c r="J54" s="258"/>
      <c r="K54" s="258"/>
      <c r="L54" s="258"/>
      <c r="M54" s="256"/>
      <c r="N54" s="256"/>
      <c r="O54" s="256"/>
      <c r="P54" s="256"/>
      <c r="Q54" s="256"/>
      <c r="R54" s="256"/>
      <c r="S54" s="251"/>
    </row>
    <row r="55" spans="2:19">
      <c r="B55" s="256"/>
      <c r="C55" s="256"/>
      <c r="D55" s="256"/>
      <c r="E55" s="256"/>
      <c r="F55" s="258"/>
      <c r="G55" s="258"/>
      <c r="H55" s="258"/>
      <c r="I55" s="258"/>
      <c r="J55" s="258"/>
      <c r="K55" s="258"/>
      <c r="L55" s="258"/>
      <c r="M55" s="256"/>
      <c r="N55" s="256"/>
      <c r="O55" s="256"/>
      <c r="P55" s="256"/>
      <c r="Q55" s="256"/>
      <c r="R55" s="256"/>
      <c r="S55" s="251"/>
    </row>
    <row r="56" spans="2:19">
      <c r="B56" s="226"/>
      <c r="C56" s="226"/>
      <c r="D56" s="256"/>
      <c r="E56" s="256"/>
      <c r="F56" s="258"/>
      <c r="G56" s="258"/>
      <c r="H56" s="258"/>
      <c r="I56" s="258"/>
      <c r="J56" s="258"/>
      <c r="K56" s="258"/>
      <c r="L56" s="258"/>
      <c r="M56" s="256"/>
      <c r="N56" s="251"/>
      <c r="O56" s="251"/>
      <c r="P56" s="251"/>
      <c r="Q56" s="251"/>
      <c r="R56" s="251"/>
      <c r="S56" s="251"/>
    </row>
    <row r="57" spans="2:19">
      <c r="B57" s="226"/>
      <c r="C57" s="226"/>
      <c r="D57" s="256"/>
      <c r="E57" s="256"/>
      <c r="F57" s="256"/>
      <c r="G57" s="256"/>
      <c r="H57" s="256"/>
      <c r="I57" s="256"/>
      <c r="J57" s="256"/>
      <c r="K57" s="256"/>
      <c r="L57" s="256"/>
      <c r="M57" s="256"/>
      <c r="N57" s="251"/>
      <c r="O57" s="251"/>
      <c r="P57" s="251"/>
      <c r="Q57" s="251"/>
      <c r="R57" s="251"/>
      <c r="S57" s="251"/>
    </row>
    <row r="58" spans="2:19">
      <c r="B58" s="251"/>
      <c r="C58" s="251"/>
      <c r="D58" s="251"/>
      <c r="E58" s="251"/>
      <c r="F58" s="251"/>
      <c r="G58" s="251"/>
      <c r="H58" s="251"/>
      <c r="I58" s="251"/>
      <c r="J58" s="251"/>
      <c r="K58" s="251"/>
      <c r="L58" s="251"/>
      <c r="M58" s="251"/>
      <c r="N58" s="251"/>
      <c r="O58" s="251"/>
      <c r="P58" s="251"/>
      <c r="Q58" s="251"/>
      <c r="R58" s="251"/>
      <c r="S58" s="251"/>
    </row>
    <row r="59" spans="2:19">
      <c r="B59" s="251"/>
      <c r="C59" s="251"/>
      <c r="D59" s="251"/>
      <c r="E59" s="251"/>
      <c r="F59" s="251"/>
      <c r="G59" s="251"/>
      <c r="H59" s="251"/>
      <c r="I59" s="251"/>
      <c r="J59" s="251"/>
      <c r="K59" s="251"/>
      <c r="L59" s="251"/>
      <c r="M59" s="251"/>
      <c r="N59" s="251"/>
      <c r="O59" s="251"/>
      <c r="P59" s="251"/>
      <c r="Q59" s="251"/>
      <c r="R59" s="251"/>
      <c r="S59" s="251"/>
    </row>
    <row r="60" spans="2:19">
      <c r="B60" s="251"/>
      <c r="C60" s="251"/>
      <c r="D60" s="251"/>
      <c r="E60" s="251"/>
      <c r="F60" s="251"/>
      <c r="G60" s="251"/>
      <c r="H60" s="251"/>
      <c r="I60" s="251"/>
      <c r="J60" s="251"/>
      <c r="K60" s="251"/>
      <c r="L60" s="251"/>
      <c r="M60" s="251"/>
      <c r="N60" s="251"/>
      <c r="O60" s="251"/>
      <c r="P60" s="251"/>
      <c r="Q60" s="251"/>
      <c r="R60" s="251"/>
      <c r="S60" s="251"/>
    </row>
    <row r="61" spans="2:19">
      <c r="B61" s="251"/>
      <c r="C61" s="251"/>
      <c r="D61" s="251"/>
      <c r="E61" s="251"/>
      <c r="F61" s="251"/>
      <c r="G61" s="251"/>
      <c r="H61" s="251"/>
      <c r="I61" s="251"/>
      <c r="J61" s="251"/>
      <c r="K61" s="251"/>
      <c r="L61" s="251"/>
      <c r="M61" s="251"/>
      <c r="N61" s="251"/>
      <c r="O61" s="251"/>
      <c r="P61" s="251"/>
      <c r="Q61" s="251"/>
      <c r="R61" s="251"/>
      <c r="S61" s="251"/>
    </row>
    <row r="62" spans="2:19">
      <c r="B62" s="251"/>
      <c r="C62" s="251"/>
      <c r="D62" s="251"/>
      <c r="E62" s="251"/>
      <c r="F62" s="251"/>
      <c r="G62" s="251"/>
      <c r="H62" s="251"/>
      <c r="I62" s="251"/>
      <c r="J62" s="251"/>
      <c r="K62" s="251"/>
      <c r="L62" s="251"/>
      <c r="M62" s="251"/>
      <c r="N62" s="251"/>
      <c r="O62" s="251"/>
      <c r="P62" s="251"/>
      <c r="Q62" s="251"/>
      <c r="R62" s="251"/>
      <c r="S62" s="251"/>
    </row>
    <row r="63" spans="2:19">
      <c r="B63" s="251"/>
      <c r="C63" s="251"/>
      <c r="D63" s="251"/>
      <c r="E63" s="251"/>
      <c r="F63" s="251"/>
      <c r="G63" s="251"/>
      <c r="H63" s="251"/>
      <c r="I63" s="251"/>
      <c r="J63" s="251"/>
      <c r="K63" s="251"/>
      <c r="L63" s="251"/>
      <c r="M63" s="251"/>
      <c r="N63" s="251"/>
      <c r="O63" s="251"/>
      <c r="P63" s="251"/>
      <c r="Q63" s="251"/>
      <c r="R63" s="251"/>
      <c r="S63" s="251"/>
    </row>
    <row r="64" spans="2:19">
      <c r="B64" s="251"/>
      <c r="C64" s="251"/>
      <c r="D64" s="251"/>
      <c r="E64" s="251"/>
      <c r="F64" s="251"/>
      <c r="G64" s="251"/>
      <c r="H64" s="251"/>
      <c r="I64" s="251"/>
      <c r="J64" s="251"/>
      <c r="K64" s="251"/>
      <c r="L64" s="251"/>
      <c r="M64" s="251"/>
      <c r="N64" s="251"/>
      <c r="O64" s="251"/>
      <c r="P64" s="251"/>
      <c r="Q64" s="251"/>
      <c r="R64" s="251"/>
      <c r="S64" s="251"/>
    </row>
    <row r="65" spans="2:19">
      <c r="B65" s="251"/>
      <c r="C65" s="251"/>
      <c r="D65" s="251"/>
      <c r="E65" s="251"/>
      <c r="F65" s="251"/>
      <c r="G65" s="251"/>
      <c r="H65" s="251"/>
      <c r="I65" s="251"/>
      <c r="J65" s="251"/>
      <c r="K65" s="251"/>
      <c r="L65" s="251"/>
      <c r="M65" s="251"/>
      <c r="N65" s="251"/>
      <c r="O65" s="251"/>
      <c r="P65" s="251"/>
      <c r="Q65" s="251"/>
      <c r="R65" s="251"/>
      <c r="S65" s="251"/>
    </row>
    <row r="66" spans="2:19">
      <c r="B66" s="251"/>
      <c r="C66" s="251"/>
      <c r="D66" s="251"/>
      <c r="E66" s="251"/>
      <c r="F66" s="251"/>
      <c r="G66" s="251"/>
      <c r="H66" s="251"/>
      <c r="I66" s="251"/>
      <c r="J66" s="251"/>
      <c r="K66" s="251"/>
      <c r="L66" s="251"/>
      <c r="M66" s="251"/>
      <c r="N66" s="251"/>
      <c r="O66" s="251"/>
      <c r="P66" s="251"/>
      <c r="Q66" s="251"/>
      <c r="R66" s="251"/>
      <c r="S66" s="251"/>
    </row>
    <row r="67" spans="2:19">
      <c r="B67" s="251"/>
      <c r="C67" s="251"/>
      <c r="D67" s="251"/>
      <c r="E67" s="251"/>
      <c r="F67" s="251"/>
      <c r="G67" s="251"/>
      <c r="H67" s="251"/>
      <c r="I67" s="251"/>
      <c r="J67" s="251"/>
      <c r="K67" s="251"/>
      <c r="L67" s="251"/>
      <c r="M67" s="251"/>
      <c r="N67" s="251"/>
      <c r="O67" s="251"/>
      <c r="P67" s="251"/>
      <c r="Q67" s="251"/>
      <c r="R67" s="251"/>
      <c r="S67" s="251"/>
    </row>
    <row r="68" spans="2:19">
      <c r="B68" s="251"/>
      <c r="C68" s="251"/>
      <c r="D68" s="251"/>
      <c r="E68" s="251"/>
      <c r="F68" s="251"/>
      <c r="G68" s="251"/>
      <c r="H68" s="251"/>
      <c r="I68" s="251"/>
      <c r="J68" s="251"/>
      <c r="K68" s="251"/>
      <c r="L68" s="251"/>
      <c r="M68" s="251"/>
      <c r="N68" s="251"/>
      <c r="O68" s="251"/>
      <c r="P68" s="251"/>
      <c r="Q68" s="251"/>
      <c r="R68" s="251"/>
      <c r="S68" s="251"/>
    </row>
    <row r="69" spans="2:19">
      <c r="B69" s="251"/>
      <c r="C69" s="251"/>
      <c r="D69" s="251"/>
      <c r="E69" s="251"/>
      <c r="F69" s="251"/>
      <c r="G69" s="251"/>
      <c r="H69" s="251"/>
      <c r="I69" s="251"/>
      <c r="J69" s="251"/>
      <c r="K69" s="251"/>
      <c r="L69" s="251"/>
      <c r="M69" s="251"/>
      <c r="N69" s="251"/>
      <c r="O69" s="251"/>
      <c r="P69" s="251"/>
      <c r="Q69" s="251"/>
      <c r="R69" s="251"/>
      <c r="S69" s="251"/>
    </row>
    <row r="70" spans="2:19">
      <c r="B70" s="251"/>
      <c r="C70" s="251"/>
      <c r="D70" s="251"/>
      <c r="E70" s="251"/>
      <c r="F70" s="251"/>
      <c r="G70" s="251"/>
      <c r="H70" s="251"/>
      <c r="I70" s="251"/>
      <c r="J70" s="251"/>
      <c r="K70" s="251"/>
      <c r="L70" s="251"/>
      <c r="M70" s="251"/>
      <c r="N70" s="251"/>
      <c r="O70" s="251"/>
      <c r="P70" s="251"/>
      <c r="Q70" s="251"/>
      <c r="R70" s="251"/>
      <c r="S70" s="251"/>
    </row>
    <row r="71" spans="2:19">
      <c r="B71" s="251"/>
      <c r="C71" s="251"/>
      <c r="D71" s="251"/>
      <c r="E71" s="251"/>
      <c r="F71" s="251"/>
      <c r="G71" s="251"/>
      <c r="H71" s="251"/>
      <c r="I71" s="251"/>
      <c r="J71" s="251"/>
      <c r="K71" s="251"/>
      <c r="L71" s="251"/>
      <c r="M71" s="251"/>
      <c r="N71" s="251"/>
      <c r="O71" s="251"/>
      <c r="P71" s="251"/>
      <c r="Q71" s="251"/>
      <c r="R71" s="251"/>
      <c r="S71" s="251"/>
    </row>
    <row r="72" spans="2:19">
      <c r="B72" s="251"/>
      <c r="C72" s="251"/>
      <c r="D72" s="251"/>
      <c r="E72" s="251"/>
      <c r="F72" s="251"/>
      <c r="G72" s="251"/>
      <c r="H72" s="251"/>
      <c r="I72" s="251"/>
      <c r="J72" s="251"/>
      <c r="K72" s="251"/>
      <c r="L72" s="251"/>
      <c r="M72" s="251"/>
      <c r="N72" s="251"/>
      <c r="O72" s="251"/>
      <c r="P72" s="251"/>
      <c r="Q72" s="251"/>
      <c r="R72" s="251"/>
      <c r="S72" s="251"/>
    </row>
    <row r="73" spans="2:19">
      <c r="B73" s="251"/>
      <c r="C73" s="251"/>
      <c r="D73" s="251"/>
      <c r="E73" s="251"/>
      <c r="F73" s="251"/>
      <c r="G73" s="251"/>
      <c r="H73" s="251"/>
      <c r="I73" s="251"/>
      <c r="J73" s="251"/>
      <c r="K73" s="251"/>
      <c r="L73" s="251"/>
      <c r="M73" s="251"/>
      <c r="N73" s="251"/>
      <c r="O73" s="251"/>
      <c r="P73" s="251"/>
      <c r="Q73" s="251"/>
      <c r="R73" s="251"/>
      <c r="S73" s="251"/>
    </row>
    <row r="74" spans="2:19">
      <c r="B74" s="251"/>
      <c r="C74" s="251"/>
      <c r="D74" s="251"/>
      <c r="E74" s="251"/>
      <c r="F74" s="251"/>
      <c r="G74" s="251"/>
      <c r="H74" s="251"/>
      <c r="I74" s="251"/>
      <c r="J74" s="251"/>
      <c r="K74" s="251"/>
      <c r="L74" s="251"/>
      <c r="M74" s="251"/>
      <c r="N74" s="251"/>
      <c r="O74" s="251"/>
      <c r="P74" s="251"/>
      <c r="Q74" s="251"/>
      <c r="R74" s="251"/>
      <c r="S74" s="251"/>
    </row>
    <row r="75" spans="2:19">
      <c r="B75" s="251"/>
      <c r="C75" s="251"/>
      <c r="D75" s="251"/>
      <c r="E75" s="251"/>
      <c r="F75" s="251"/>
      <c r="G75" s="251"/>
      <c r="H75" s="251"/>
      <c r="I75" s="251"/>
      <c r="J75" s="251"/>
      <c r="K75" s="251"/>
      <c r="L75" s="251"/>
      <c r="M75" s="251"/>
      <c r="N75" s="251"/>
      <c r="O75" s="251"/>
      <c r="P75" s="251"/>
      <c r="Q75" s="251"/>
      <c r="R75" s="251"/>
      <c r="S75" s="251"/>
    </row>
    <row r="76" spans="2:19">
      <c r="B76" s="251"/>
      <c r="C76" s="251"/>
      <c r="D76" s="251"/>
      <c r="E76" s="251"/>
      <c r="F76" s="251"/>
      <c r="G76" s="251"/>
      <c r="H76" s="251"/>
      <c r="I76" s="251"/>
      <c r="J76" s="251"/>
      <c r="K76" s="251"/>
      <c r="L76" s="251"/>
      <c r="M76" s="251"/>
      <c r="N76" s="251"/>
      <c r="O76" s="251"/>
      <c r="P76" s="251"/>
      <c r="Q76" s="251"/>
      <c r="R76" s="251"/>
      <c r="S76" s="251"/>
    </row>
    <row r="77" spans="2:19">
      <c r="B77" s="251"/>
      <c r="C77" s="251"/>
      <c r="D77" s="251"/>
      <c r="E77" s="251"/>
      <c r="F77" s="251"/>
      <c r="G77" s="251"/>
      <c r="H77" s="251"/>
      <c r="I77" s="251"/>
      <c r="J77" s="251"/>
      <c r="K77" s="251"/>
      <c r="L77" s="251"/>
      <c r="M77" s="251"/>
      <c r="N77" s="251"/>
      <c r="O77" s="251"/>
      <c r="P77" s="251"/>
      <c r="Q77" s="251"/>
      <c r="R77" s="251"/>
      <c r="S77" s="251"/>
    </row>
    <row r="78" spans="2:19">
      <c r="B78" s="251"/>
      <c r="C78" s="251"/>
      <c r="D78" s="251"/>
      <c r="E78" s="251"/>
      <c r="F78" s="251"/>
      <c r="G78" s="251"/>
      <c r="H78" s="251"/>
      <c r="I78" s="251"/>
      <c r="J78" s="251"/>
      <c r="K78" s="251"/>
      <c r="L78" s="251"/>
      <c r="M78" s="251"/>
      <c r="N78" s="251"/>
      <c r="O78" s="251"/>
      <c r="P78" s="251"/>
      <c r="Q78" s="251"/>
      <c r="R78" s="251"/>
      <c r="S78" s="251"/>
    </row>
  </sheetData>
  <sheetProtection sheet="1" objects="1" scenarios="1" selectLockedCells="1"/>
  <mergeCells count="19">
    <mergeCell ref="R20:S21"/>
    <mergeCell ref="R26:S27"/>
    <mergeCell ref="K27:N27"/>
    <mergeCell ref="K21:N21"/>
    <mergeCell ref="K24:N24"/>
    <mergeCell ref="L26:N26"/>
    <mergeCell ref="R23:S24"/>
    <mergeCell ref="L23:N23"/>
    <mergeCell ref="L20:N20"/>
    <mergeCell ref="K2:S3"/>
    <mergeCell ref="R14:S15"/>
    <mergeCell ref="R17:S18"/>
    <mergeCell ref="B8:B9"/>
    <mergeCell ref="K18:N18"/>
    <mergeCell ref="K10:M10"/>
    <mergeCell ref="K11:M11"/>
    <mergeCell ref="L17:N17"/>
    <mergeCell ref="L14:N14"/>
    <mergeCell ref="K15:N15"/>
  </mergeCells>
  <phoneticPr fontId="7" type="noConversion"/>
  <pageMargins left="0.78740157499999996" right="0.78740157499999996" top="0.984251969" bottom="0.984251969" header="0.4921259845" footer="0.4921259845"/>
  <pageSetup paperSize="9" orientation="portrait" horizontalDpi="4294967293"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7" r:id="rId4" name="Button 13">
              <controlPr defaultSize="0" print="0" autoFill="0" autoPict="0" macro="[0]!CoubeIn">
                <anchor moveWithCells="1">
                  <from>
                    <xdr:col>4</xdr:col>
                    <xdr:colOff>66675</xdr:colOff>
                    <xdr:row>5</xdr:row>
                    <xdr:rowOff>66675</xdr:rowOff>
                  </from>
                  <to>
                    <xdr:col>7</xdr:col>
                    <xdr:colOff>485775</xdr:colOff>
                    <xdr:row>6</xdr:row>
                    <xdr:rowOff>161925</xdr:rowOff>
                  </to>
                </anchor>
              </controlPr>
            </control>
          </mc:Choice>
        </mc:AlternateContent>
        <mc:AlternateContent xmlns:mc="http://schemas.openxmlformats.org/markup-compatibility/2006">
          <mc:Choice Requires="x14">
            <control shapeId="11320" r:id="rId5" name="Button 56">
              <controlPr defaultSize="0" print="0" autoFill="0" autoPict="0" macro="[0]!SuiviIntra">
                <anchor moveWithCells="1">
                  <from>
                    <xdr:col>4</xdr:col>
                    <xdr:colOff>66675</xdr:colOff>
                    <xdr:row>8</xdr:row>
                    <xdr:rowOff>114300</xdr:rowOff>
                  </from>
                  <to>
                    <xdr:col>7</xdr:col>
                    <xdr:colOff>485775</xdr:colOff>
                    <xdr:row>11</xdr:row>
                    <xdr:rowOff>76200</xdr:rowOff>
                  </to>
                </anchor>
              </controlPr>
            </control>
          </mc:Choice>
        </mc:AlternateContent>
        <mc:AlternateContent xmlns:mc="http://schemas.openxmlformats.org/markup-compatibility/2006">
          <mc:Choice Requires="x14">
            <control shapeId="11289" r:id="rId6" name="Button 25">
              <controlPr defaultSize="0" print="0" autoFill="0" autoPict="0" macro="[0]!crises">
                <anchor moveWithCells="1">
                  <from>
                    <xdr:col>4</xdr:col>
                    <xdr:colOff>66675</xdr:colOff>
                    <xdr:row>12</xdr:row>
                    <xdr:rowOff>9525</xdr:rowOff>
                  </from>
                  <to>
                    <xdr:col>7</xdr:col>
                    <xdr:colOff>485775</xdr:colOff>
                    <xdr:row>13</xdr:row>
                    <xdr:rowOff>66675</xdr:rowOff>
                  </to>
                </anchor>
              </controlPr>
            </control>
          </mc:Choice>
        </mc:AlternateContent>
        <mc:AlternateContent xmlns:mc="http://schemas.openxmlformats.org/markup-compatibility/2006">
          <mc:Choice Requires="x14">
            <control shapeId="11267" r:id="rId7" name="Button 3">
              <controlPr defaultSize="0" print="0" autoFill="0" autoPict="0" macro="[0]!SaisieIMC">
                <anchor moveWithCells="1">
                  <from>
                    <xdr:col>4</xdr:col>
                    <xdr:colOff>66675</xdr:colOff>
                    <xdr:row>16</xdr:row>
                    <xdr:rowOff>104775</xdr:rowOff>
                  </from>
                  <to>
                    <xdr:col>5</xdr:col>
                    <xdr:colOff>523875</xdr:colOff>
                    <xdr:row>19</xdr:row>
                    <xdr:rowOff>123825</xdr:rowOff>
                  </to>
                </anchor>
              </controlPr>
            </control>
          </mc:Choice>
        </mc:AlternateContent>
        <mc:AlternateContent xmlns:mc="http://schemas.openxmlformats.org/markup-compatibility/2006">
          <mc:Choice Requires="x14">
            <control shapeId="11270" r:id="rId8" name="Button 6">
              <controlPr defaultSize="0" print="0" autoFill="0" autoPict="0" macro="[0]!GraphIMC">
                <anchor moveWithCells="1">
                  <from>
                    <xdr:col>6</xdr:col>
                    <xdr:colOff>28575</xdr:colOff>
                    <xdr:row>16</xdr:row>
                    <xdr:rowOff>104775</xdr:rowOff>
                  </from>
                  <to>
                    <xdr:col>7</xdr:col>
                    <xdr:colOff>466725</xdr:colOff>
                    <xdr:row>19</xdr:row>
                    <xdr:rowOff>114300</xdr:rowOff>
                  </to>
                </anchor>
              </controlPr>
            </control>
          </mc:Choice>
        </mc:AlternateContent>
        <mc:AlternateContent xmlns:mc="http://schemas.openxmlformats.org/markup-compatibility/2006">
          <mc:Choice Requires="x14">
            <control shapeId="11265" r:id="rId9" name="Button 1">
              <controlPr defaultSize="0" print="0" autoFill="0" autoPict="0" macro="[0]!Socio">
                <anchor moveWithCells="1">
                  <from>
                    <xdr:col>4</xdr:col>
                    <xdr:colOff>66675</xdr:colOff>
                    <xdr:row>23</xdr:row>
                    <xdr:rowOff>57150</xdr:rowOff>
                  </from>
                  <to>
                    <xdr:col>7</xdr:col>
                    <xdr:colOff>485775</xdr:colOff>
                    <xdr:row>24</xdr:row>
                    <xdr:rowOff>142875</xdr:rowOff>
                  </to>
                </anchor>
              </controlPr>
            </control>
          </mc:Choice>
        </mc:AlternateContent>
        <mc:AlternateContent xmlns:mc="http://schemas.openxmlformats.org/markup-compatibility/2006">
          <mc:Choice Requires="x14">
            <control shapeId="11293" r:id="rId10" name="Button 29">
              <controlPr defaultSize="0" print="0" autoFill="0" autoPict="0" macro="[0]!AAA">
                <anchor moveWithCells="1">
                  <from>
                    <xdr:col>4</xdr:col>
                    <xdr:colOff>66675</xdr:colOff>
                    <xdr:row>25</xdr:row>
                    <xdr:rowOff>47625</xdr:rowOff>
                  </from>
                  <to>
                    <xdr:col>7</xdr:col>
                    <xdr:colOff>485775</xdr:colOff>
                    <xdr:row>26</xdr:row>
                    <xdr:rowOff>123825</xdr:rowOff>
                  </to>
                </anchor>
              </controlPr>
            </control>
          </mc:Choice>
        </mc:AlternateContent>
        <mc:AlternateContent xmlns:mc="http://schemas.openxmlformats.org/markup-compatibility/2006">
          <mc:Choice Requires="x14">
            <control shapeId="11266" r:id="rId11" name="Button 2">
              <controlPr defaultSize="0" print="0" autoFill="0" autoPict="0" macro="[0]!TestsTCA">
                <anchor moveWithCells="1">
                  <from>
                    <xdr:col>10</xdr:col>
                    <xdr:colOff>123825</xdr:colOff>
                    <xdr:row>5</xdr:row>
                    <xdr:rowOff>85725</xdr:rowOff>
                  </from>
                  <to>
                    <xdr:col>11</xdr:col>
                    <xdr:colOff>523875</xdr:colOff>
                    <xdr:row>11</xdr:row>
                    <xdr:rowOff>142875</xdr:rowOff>
                  </to>
                </anchor>
              </controlPr>
            </control>
          </mc:Choice>
        </mc:AlternateContent>
        <mc:AlternateContent xmlns:mc="http://schemas.openxmlformats.org/markup-compatibility/2006">
          <mc:Choice Requires="x14">
            <control shapeId="11278" r:id="rId12" name="Button 14">
              <controlPr defaultSize="0" print="0" autoFill="0" autoPict="0" macro="[0]!Graphique">
                <anchor moveWithCells="1">
                  <from>
                    <xdr:col>11</xdr:col>
                    <xdr:colOff>676275</xdr:colOff>
                    <xdr:row>5</xdr:row>
                    <xdr:rowOff>114300</xdr:rowOff>
                  </from>
                  <to>
                    <xdr:col>16</xdr:col>
                    <xdr:colOff>314325</xdr:colOff>
                    <xdr:row>6</xdr:row>
                    <xdr:rowOff>180975</xdr:rowOff>
                  </to>
                </anchor>
              </controlPr>
            </control>
          </mc:Choice>
        </mc:AlternateContent>
        <mc:AlternateContent xmlns:mc="http://schemas.openxmlformats.org/markup-compatibility/2006">
          <mc:Choice Requires="x14">
            <control shapeId="11292" r:id="rId13" name="Button 28">
              <controlPr defaultSize="0" print="0" autoFill="0" autoPict="0" macro="[0]!Incidence">
                <anchor moveWithCells="1">
                  <from>
                    <xdr:col>11</xdr:col>
                    <xdr:colOff>676275</xdr:colOff>
                    <xdr:row>7</xdr:row>
                    <xdr:rowOff>47625</xdr:rowOff>
                  </from>
                  <to>
                    <xdr:col>16</xdr:col>
                    <xdr:colOff>333375</xdr:colOff>
                    <xdr:row>8</xdr:row>
                    <xdr:rowOff>142875</xdr:rowOff>
                  </to>
                </anchor>
              </controlPr>
            </control>
          </mc:Choice>
        </mc:AlternateContent>
        <mc:AlternateContent xmlns:mc="http://schemas.openxmlformats.org/markup-compatibility/2006">
          <mc:Choice Requires="x14">
            <control shapeId="11323" r:id="rId14" name="Button 59">
              <controlPr defaultSize="0" print="0" autoFill="0" autoPict="0" macro="[0]!GraphIDC">
                <anchor moveWithCells="1">
                  <from>
                    <xdr:col>11</xdr:col>
                    <xdr:colOff>676275</xdr:colOff>
                    <xdr:row>9</xdr:row>
                    <xdr:rowOff>28575</xdr:rowOff>
                  </from>
                  <to>
                    <xdr:col>16</xdr:col>
                    <xdr:colOff>333375</xdr:colOff>
                    <xdr:row>11</xdr:row>
                    <xdr:rowOff>104775</xdr:rowOff>
                  </to>
                </anchor>
              </controlPr>
            </control>
          </mc:Choice>
        </mc:AlternateContent>
        <mc:AlternateContent xmlns:mc="http://schemas.openxmlformats.org/markup-compatibility/2006">
          <mc:Choice Requires="x14">
            <control shapeId="11287" r:id="rId15" name="Button 23">
              <controlPr defaultSize="0" print="0" autoFill="0" autoPict="0" macro="[0]!SilhouetteT">
                <anchor moveWithCells="1">
                  <from>
                    <xdr:col>17</xdr:col>
                    <xdr:colOff>66675</xdr:colOff>
                    <xdr:row>5</xdr:row>
                    <xdr:rowOff>104775</xdr:rowOff>
                  </from>
                  <to>
                    <xdr:col>18</xdr:col>
                    <xdr:colOff>619125</xdr:colOff>
                    <xdr:row>7</xdr:row>
                    <xdr:rowOff>104775</xdr:rowOff>
                  </to>
                </anchor>
              </controlPr>
            </control>
          </mc:Choice>
        </mc:AlternateContent>
        <mc:AlternateContent xmlns:mc="http://schemas.openxmlformats.org/markup-compatibility/2006">
          <mc:Choice Requires="x14">
            <control shapeId="11322" r:id="rId16" name="Button 58">
              <controlPr defaultSize="0" print="0" autoFill="0" autoPict="0" macro="[0]!IDC">
                <anchor moveWithCells="1">
                  <from>
                    <xdr:col>17</xdr:col>
                    <xdr:colOff>85725</xdr:colOff>
                    <xdr:row>8</xdr:row>
                    <xdr:rowOff>47625</xdr:rowOff>
                  </from>
                  <to>
                    <xdr:col>18</xdr:col>
                    <xdr:colOff>619125</xdr:colOff>
                    <xdr:row>11</xdr:row>
                    <xdr:rowOff>123825</xdr:rowOff>
                  </to>
                </anchor>
              </controlPr>
            </control>
          </mc:Choice>
        </mc:AlternateContent>
        <mc:AlternateContent xmlns:mc="http://schemas.openxmlformats.org/markup-compatibility/2006">
          <mc:Choice Requires="x14">
            <control shapeId="11333" r:id="rId17" name="Drop Down 4">
              <controlPr defaultSize="0" autoLine="0" autoPict="0" macro="[0]!DropDown4_QuandChangement">
                <anchor moveWithCells="1">
                  <from>
                    <xdr:col>0</xdr:col>
                    <xdr:colOff>57150</xdr:colOff>
                    <xdr:row>19</xdr:row>
                    <xdr:rowOff>19050</xdr:rowOff>
                  </from>
                  <to>
                    <xdr:col>3</xdr:col>
                    <xdr:colOff>85725</xdr:colOff>
                    <xdr:row>20</xdr:row>
                    <xdr:rowOff>76200</xdr:rowOff>
                  </to>
                </anchor>
              </controlPr>
            </control>
          </mc:Choice>
        </mc:AlternateContent>
        <mc:AlternateContent xmlns:mc="http://schemas.openxmlformats.org/markup-compatibility/2006">
          <mc:Choice Requires="x14">
            <control shapeId="11334" r:id="rId18" name="Button 1">
              <controlPr defaultSize="0" print="0" autoFill="0" autoPict="0" macro="[0]!RAADS">
                <anchor moveWithCells="1">
                  <from>
                    <xdr:col>4</xdr:col>
                    <xdr:colOff>66675</xdr:colOff>
                    <xdr:row>21</xdr:row>
                    <xdr:rowOff>66675</xdr:rowOff>
                  </from>
                  <to>
                    <xdr:col>7</xdr:col>
                    <xdr:colOff>485775</xdr:colOff>
                    <xdr:row>22</xdr:row>
                    <xdr:rowOff>142875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2DE49-91BC-4C87-B30E-3140CE6147EB}">
  <sheetPr codeName="Feuil27"/>
  <dimension ref="A1"/>
  <sheetViews>
    <sheetView showGridLines="0" showRowColHeaders="0" zoomScale="120" zoomScaleNormal="120" workbookViewId="0"/>
  </sheetViews>
  <sheetFormatPr baseColWidth="10" defaultRowHeight="12.75"/>
  <sheetData/>
  <sheetProtection selectLockedCells="1" selectUnlockedCells="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9889" r:id="rId4" name="Button 5">
              <controlPr defaultSize="0" print="0" autoFill="0" autoPict="0" macro="[0]!Preview">
                <anchor moveWithCells="1" sizeWithCells="1">
                  <from>
                    <xdr:col>11</xdr:col>
                    <xdr:colOff>285750</xdr:colOff>
                    <xdr:row>10</xdr:row>
                    <xdr:rowOff>142875</xdr:rowOff>
                  </from>
                  <to>
                    <xdr:col>12</xdr:col>
                    <xdr:colOff>666750</xdr:colOff>
                    <xdr:row>14</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ET192"/>
  <sheetViews>
    <sheetView showGridLines="0" showRowColHeaders="0" topLeftCell="A6" zoomScale="144" zoomScaleNormal="144" zoomScalePageLayoutView="150" workbookViewId="0">
      <pane xSplit="2" topLeftCell="C1" activePane="topRight" state="frozen"/>
      <selection pane="topRight" activeCell="C8" sqref="C8"/>
    </sheetView>
  </sheetViews>
  <sheetFormatPr baseColWidth="10" defaultColWidth="11.28515625" defaultRowHeight="12.75"/>
  <cols>
    <col min="1" max="1" width="21" style="357" customWidth="1"/>
    <col min="2" max="2" width="12.140625" style="359" customWidth="1"/>
    <col min="3" max="24" width="10.140625" style="247" customWidth="1"/>
    <col min="25" max="16384" width="11.28515625" style="247"/>
  </cols>
  <sheetData>
    <row r="1" spans="1:62" s="338" customFormat="1" ht="21" hidden="1" customHeight="1">
      <c r="A1" s="348" t="s">
        <v>426</v>
      </c>
      <c r="B1" s="349" t="s">
        <v>394</v>
      </c>
      <c r="C1" s="338">
        <v>0.2</v>
      </c>
      <c r="D1" s="338">
        <v>0.5</v>
      </c>
      <c r="E1" s="338">
        <v>0.25</v>
      </c>
      <c r="F1" s="338">
        <v>0.25</v>
      </c>
      <c r="G1" s="338">
        <v>0.25</v>
      </c>
      <c r="H1" s="338">
        <v>0.2</v>
      </c>
      <c r="I1" s="338">
        <v>0.2</v>
      </c>
      <c r="J1" s="338">
        <v>0.12</v>
      </c>
      <c r="K1" s="338">
        <v>0.2</v>
      </c>
      <c r="L1" s="338">
        <v>0</v>
      </c>
      <c r="M1" s="338">
        <v>-0.15</v>
      </c>
      <c r="N1" s="338">
        <v>-0.1</v>
      </c>
      <c r="O1" s="338">
        <v>0</v>
      </c>
      <c r="P1" s="338">
        <v>0.1</v>
      </c>
      <c r="Q1" s="338">
        <v>0.15</v>
      </c>
      <c r="R1" s="338">
        <v>0.2</v>
      </c>
      <c r="S1" s="338">
        <v>0.2</v>
      </c>
      <c r="T1" s="338">
        <v>0.56999999999999995</v>
      </c>
      <c r="U1" s="338">
        <v>0.68</v>
      </c>
      <c r="V1" s="338">
        <v>0.72</v>
      </c>
      <c r="W1" s="338">
        <v>0.73</v>
      </c>
      <c r="X1" s="338">
        <v>0.8</v>
      </c>
    </row>
    <row r="2" spans="1:62" s="338" customFormat="1" ht="21" hidden="1" customHeight="1">
      <c r="A2" s="348"/>
      <c r="B2" s="349" t="s">
        <v>393</v>
      </c>
      <c r="C2" s="338">
        <v>0</v>
      </c>
      <c r="D2" s="338">
        <v>0.1</v>
      </c>
      <c r="E2" s="338">
        <v>0.1</v>
      </c>
      <c r="F2" s="338">
        <v>0.1</v>
      </c>
      <c r="G2" s="338">
        <v>0.15</v>
      </c>
      <c r="H2" s="338">
        <v>0.24</v>
      </c>
      <c r="I2" s="338">
        <v>0.2</v>
      </c>
      <c r="J2" s="338">
        <v>0.25</v>
      </c>
      <c r="K2" s="338">
        <v>0.18</v>
      </c>
      <c r="L2" s="338">
        <v>0.1</v>
      </c>
      <c r="M2" s="338">
        <v>-0.05</v>
      </c>
      <c r="N2" s="338">
        <v>-0.35</v>
      </c>
      <c r="O2" s="338">
        <v>-0.4</v>
      </c>
      <c r="P2" s="338">
        <v>-0.4</v>
      </c>
      <c r="Q2" s="338">
        <v>-0.4</v>
      </c>
      <c r="R2" s="338">
        <v>-0.25</v>
      </c>
      <c r="S2" s="338">
        <v>-0.1</v>
      </c>
      <c r="T2" s="338">
        <v>0.05</v>
      </c>
      <c r="U2" s="338">
        <v>0.25</v>
      </c>
      <c r="V2" s="338">
        <v>0.5</v>
      </c>
      <c r="W2" s="338">
        <v>0.65</v>
      </c>
      <c r="X2" s="338">
        <v>0.85</v>
      </c>
    </row>
    <row r="3" spans="1:62" s="338" customFormat="1" ht="21" hidden="1" customHeight="1">
      <c r="A3" s="348"/>
      <c r="B3" s="349" t="s">
        <v>392</v>
      </c>
      <c r="C3" s="338">
        <v>1</v>
      </c>
      <c r="D3" s="338">
        <v>2</v>
      </c>
      <c r="E3" s="338">
        <v>3</v>
      </c>
      <c r="F3" s="338">
        <v>4</v>
      </c>
      <c r="G3" s="338">
        <v>5</v>
      </c>
      <c r="H3" s="338">
        <v>6</v>
      </c>
      <c r="I3" s="338">
        <v>7</v>
      </c>
      <c r="J3" s="338">
        <v>8</v>
      </c>
      <c r="K3" s="338">
        <v>9</v>
      </c>
      <c r="L3" s="338">
        <v>10</v>
      </c>
      <c r="M3" s="338">
        <v>11</v>
      </c>
      <c r="N3" s="338">
        <v>12</v>
      </c>
      <c r="O3" s="338">
        <v>13</v>
      </c>
      <c r="P3" s="338">
        <v>14</v>
      </c>
      <c r="Q3" s="338">
        <v>15</v>
      </c>
      <c r="R3" s="338">
        <v>16</v>
      </c>
      <c r="S3" s="338">
        <v>17</v>
      </c>
      <c r="T3" s="338">
        <v>18</v>
      </c>
      <c r="U3" s="338">
        <v>19</v>
      </c>
      <c r="V3" s="338">
        <v>20</v>
      </c>
      <c r="W3" s="338">
        <v>21</v>
      </c>
      <c r="X3" s="338">
        <v>22</v>
      </c>
    </row>
    <row r="4" spans="1:62" s="338" customFormat="1" ht="21" hidden="1" customHeight="1">
      <c r="A4" s="348"/>
      <c r="B4" s="349" t="s">
        <v>207</v>
      </c>
      <c r="C4" s="339" t="e">
        <f>'Courbe In'!$A$6+365.25*C3</f>
        <v>#VALUE!</v>
      </c>
      <c r="D4" s="339" t="e">
        <f>'Courbe In'!$A$6+365.25*D3</f>
        <v>#VALUE!</v>
      </c>
      <c r="E4" s="339" t="e">
        <f>'Courbe In'!$A$6+365.25*E3</f>
        <v>#VALUE!</v>
      </c>
      <c r="F4" s="339" t="e">
        <f>'Courbe In'!$A$6+365.25*F3</f>
        <v>#VALUE!</v>
      </c>
      <c r="G4" s="339" t="e">
        <f>'Courbe In'!$A$6+365.25*G3</f>
        <v>#VALUE!</v>
      </c>
      <c r="H4" s="339" t="e">
        <f>'Courbe In'!$A$6+365.25*H3</f>
        <v>#VALUE!</v>
      </c>
      <c r="I4" s="339" t="e">
        <f>'Courbe In'!$A$6+365.25*I3</f>
        <v>#VALUE!</v>
      </c>
      <c r="J4" s="339" t="e">
        <f>'Courbe In'!$A$6+365.25*J3</f>
        <v>#VALUE!</v>
      </c>
      <c r="K4" s="339" t="e">
        <f>'Courbe In'!$A$6+365.25*K3</f>
        <v>#VALUE!</v>
      </c>
      <c r="L4" s="339" t="e">
        <f>'Courbe In'!$A$6+365.25*L3</f>
        <v>#VALUE!</v>
      </c>
      <c r="M4" s="339" t="e">
        <f>'Courbe In'!$A$6+365.25*M3</f>
        <v>#VALUE!</v>
      </c>
      <c r="N4" s="339" t="e">
        <f>'Courbe In'!$A$6+365.25*N3</f>
        <v>#VALUE!</v>
      </c>
      <c r="O4" s="339" t="e">
        <f>'Courbe In'!$A$6+365.25*O3</f>
        <v>#VALUE!</v>
      </c>
      <c r="P4" s="339" t="e">
        <f>'Courbe In'!$A$6+365.25*P3</f>
        <v>#VALUE!</v>
      </c>
      <c r="Q4" s="339" t="e">
        <f>'Courbe In'!$A$6+365.25*Q3</f>
        <v>#VALUE!</v>
      </c>
      <c r="R4" s="339" t="e">
        <f>'Courbe In'!$A$6+365.25*R3</f>
        <v>#VALUE!</v>
      </c>
      <c r="S4" s="339" t="e">
        <f>'Courbe In'!$A$6+365.25*S3</f>
        <v>#VALUE!</v>
      </c>
      <c r="T4" s="339" t="e">
        <f>'Courbe In'!$A$6+365.25*T3</f>
        <v>#VALUE!</v>
      </c>
      <c r="U4" s="339" t="e">
        <f>'Courbe In'!$A$6+365.25*U3</f>
        <v>#VALUE!</v>
      </c>
      <c r="V4" s="339" t="e">
        <f>'Courbe In'!$A$6+365.25*V3</f>
        <v>#VALUE!</v>
      </c>
      <c r="W4" s="339" t="e">
        <f>'Courbe In'!$A$6+365.25*W3</f>
        <v>#VALUE!</v>
      </c>
      <c r="X4" s="339" t="e">
        <f>'Courbe In'!$A$6+365.25*X3</f>
        <v>#VALUE!</v>
      </c>
    </row>
    <row r="5" spans="1:62" s="338" customFormat="1" ht="21" hidden="1" customHeight="1">
      <c r="A5" s="348"/>
      <c r="B5" s="349" t="s">
        <v>393</v>
      </c>
      <c r="C5" s="338">
        <f>16.4+(C2*'Courbe In'!G9)</f>
        <v>16.399999999999999</v>
      </c>
      <c r="D5" s="338">
        <f>15.5+(D2*'Courbe In'!G9)</f>
        <v>15.4</v>
      </c>
      <c r="E5" s="338">
        <f>14.9+(E2*'Courbe In'!G9)</f>
        <v>14.8</v>
      </c>
      <c r="F5" s="338">
        <f>14.6+(F2*'Courbe In'!G9)</f>
        <v>14.5</v>
      </c>
      <c r="G5" s="338">
        <f>14.45+(G2*'Courbe In'!G9)</f>
        <v>14.299999999999999</v>
      </c>
      <c r="H5" s="338">
        <f>14.35+(H2*'Courbe In'!G9)</f>
        <v>14.11</v>
      </c>
      <c r="I5" s="338">
        <f>14.4+(I2*'Courbe In'!G9)</f>
        <v>14.200000000000001</v>
      </c>
      <c r="J5" s="338">
        <f>14.5+(J2*'Courbe In'!G9)</f>
        <v>14.25</v>
      </c>
      <c r="K5" s="338">
        <f>14.8+(K2*'Courbe In'!G9)</f>
        <v>14.620000000000001</v>
      </c>
      <c r="L5" s="338">
        <f>15.1+(L2*'Courbe In'!G9)</f>
        <v>15</v>
      </c>
      <c r="M5" s="338">
        <f>15.5+(M2*'Courbe In'!G9)</f>
        <v>15.55</v>
      </c>
      <c r="N5" s="338">
        <f>16.1+(N2*'Courbe In'!G9)</f>
        <v>16.450000000000003</v>
      </c>
      <c r="O5" s="338">
        <f>16.6+(O2*'Courbe In'!G9)</f>
        <v>17</v>
      </c>
      <c r="P5" s="338">
        <f>17.3+(P2*'Courbe In'!G9)</f>
        <v>17.7</v>
      </c>
      <c r="Q5" s="338">
        <f>17.9+(Q2*'Courbe In'!G9)</f>
        <v>18.299999999999997</v>
      </c>
      <c r="R5" s="338">
        <f>18.35+(R2*'Courbe In'!G9)</f>
        <v>18.600000000000001</v>
      </c>
      <c r="S5" s="338">
        <f>18.6+(S2*'Courbe In'!G9)</f>
        <v>18.700000000000003</v>
      </c>
      <c r="T5" s="338">
        <f>18.75+(T2*'Courbe In'!G9)</f>
        <v>18.7</v>
      </c>
      <c r="U5" s="338">
        <f>18.85+(U2*'Courbe In'!G9)</f>
        <v>18.600000000000001</v>
      </c>
      <c r="V5" s="338">
        <f>18.9+(V2*'Courbe In'!G9)</f>
        <v>18.399999999999999</v>
      </c>
      <c r="W5" s="338">
        <f>18.95+(W2*'Courbe In'!G9)</f>
        <v>18.3</v>
      </c>
      <c r="X5" s="338">
        <f>19+(X2*'Courbe In'!G9)</f>
        <v>18.149999999999999</v>
      </c>
    </row>
    <row r="6" spans="1:62" s="338" customFormat="1" ht="21" customHeight="1">
      <c r="A6" s="350" t="s">
        <v>358</v>
      </c>
      <c r="B6" s="349" t="s">
        <v>394</v>
      </c>
      <c r="C6" s="362">
        <f>18.5+('Courbe In'!G9*C1)</f>
        <v>18.3</v>
      </c>
      <c r="D6" s="362">
        <f>17+(D1*'Courbe In'!G9)</f>
        <v>16.5</v>
      </c>
      <c r="E6" s="362">
        <f>16.4+(E1*'Courbe In'!G9)</f>
        <v>16.149999999999999</v>
      </c>
      <c r="F6" s="362">
        <f>16.1+(F1*'Courbe In'!G9)</f>
        <v>15.850000000000001</v>
      </c>
      <c r="G6" s="362">
        <f>16+(G1*'Courbe In'!G9)</f>
        <v>15.75</v>
      </c>
      <c r="H6" s="362">
        <f>16.05+(H1*'Courbe In'!G9)</f>
        <v>15.850000000000001</v>
      </c>
      <c r="I6" s="362">
        <f>16.2+(I1*'Courbe In'!G9)</f>
        <v>16</v>
      </c>
      <c r="J6" s="362">
        <f>16.5+(J1*'Courbe In'!G9)</f>
        <v>16.38</v>
      </c>
      <c r="K6" s="362">
        <f>16.8+(K1*'Courbe In'!G9)</f>
        <v>16.600000000000001</v>
      </c>
      <c r="L6" s="362">
        <f>17.4+(L1*'Courbe In'!G9)</f>
        <v>17.399999999999999</v>
      </c>
      <c r="M6" s="362">
        <f>18+(M1*'Courbe In'!G9)</f>
        <v>18.149999999999999</v>
      </c>
      <c r="N6" s="362">
        <f>18.6+(N1*'Courbe In'!G9)</f>
        <v>18.700000000000003</v>
      </c>
      <c r="O6" s="362">
        <f>19.25+(O1*'Courbe In'!G9)</f>
        <v>19.25</v>
      </c>
      <c r="P6" s="362">
        <f>19.8+(P1*'Courbe In'!G9)</f>
        <v>19.7</v>
      </c>
      <c r="Q6" s="362">
        <f>20.4+(Q1*'Courbe In'!G9)</f>
        <v>20.25</v>
      </c>
      <c r="R6" s="362">
        <f>20.9+(R1*'Courbe In'!G9)</f>
        <v>20.7</v>
      </c>
      <c r="S6" s="362">
        <f>21.2+(S1*'Courbe In'!G9)</f>
        <v>21</v>
      </c>
      <c r="T6" s="362">
        <f>21.5+(T1*'Courbe In'!G9)</f>
        <v>20.93</v>
      </c>
      <c r="U6" s="362">
        <f>21.8+(U1*'Courbe In'!G9)</f>
        <v>21.12</v>
      </c>
      <c r="V6" s="362">
        <f>22+(V1*'Courbe In'!G9)</f>
        <v>21.28</v>
      </c>
      <c r="W6" s="362">
        <f>22.1+(W1*'Courbe In'!G9)</f>
        <v>21.37</v>
      </c>
      <c r="X6" s="362">
        <f>22.2+(X1*'Courbe In'!G9)</f>
        <v>21.4</v>
      </c>
      <c r="Y6" s="362">
        <f>22.2+(Y1*'Courbe In'!G9)</f>
        <v>22.2</v>
      </c>
      <c r="Z6" s="362">
        <f>22.2+(Z1*'Courbe In'!G9)</f>
        <v>22.2</v>
      </c>
      <c r="AA6" s="362">
        <f>22.2+(AA1*'Courbe In'!G9)</f>
        <v>22.2</v>
      </c>
      <c r="AB6" s="362">
        <f>22.2+(AB1*'Courbe In'!G9)</f>
        <v>22.2</v>
      </c>
      <c r="AC6" s="362">
        <f>22.2+(AC1*'Courbe In'!G9)</f>
        <v>22.2</v>
      </c>
      <c r="AD6" s="362">
        <f>22.2+(AD1*'Courbe In'!G9)</f>
        <v>22.2</v>
      </c>
      <c r="AE6" s="362">
        <f>22.2+(AE1*'Courbe In'!G9)</f>
        <v>22.2</v>
      </c>
      <c r="AF6" s="362">
        <f>22.2+(AF1*'Courbe In'!G9)</f>
        <v>22.2</v>
      </c>
      <c r="AG6" s="362">
        <f>22.2+(AG1*'Courbe In'!G9)</f>
        <v>22.2</v>
      </c>
      <c r="AH6" s="362">
        <f>22.2+(AH1*'Courbe In'!G9)</f>
        <v>22.2</v>
      </c>
      <c r="AI6" s="362">
        <f>22.2+(AI1*'Courbe In'!G9)</f>
        <v>22.2</v>
      </c>
      <c r="AJ6" s="362">
        <f>22.2+(AJ1*'Courbe In'!G9)</f>
        <v>22.2</v>
      </c>
      <c r="AK6" s="362">
        <f>22.2+(AK1*'Courbe In'!G9)</f>
        <v>22.2</v>
      </c>
      <c r="AL6" s="362">
        <f>22.2+(AL1*'Courbe In'!G9)</f>
        <v>22.2</v>
      </c>
      <c r="AM6" s="362">
        <f>22.2+(AM1*'Courbe In'!G9)</f>
        <v>22.2</v>
      </c>
      <c r="AN6" s="362">
        <f>22.2+(AN1*'Courbe In'!G9)</f>
        <v>22.2</v>
      </c>
      <c r="AO6" s="362">
        <f>22.2+(AO1*'Courbe In'!G9)</f>
        <v>22.2</v>
      </c>
      <c r="AP6" s="362">
        <f>22.2+(AP1*'Courbe In'!G9)</f>
        <v>22.2</v>
      </c>
      <c r="AQ6" s="362">
        <f>22.2+(AQ1*'Courbe In'!G9)</f>
        <v>22.2</v>
      </c>
      <c r="AR6" s="362">
        <f>22.2+(AR1*'Courbe In'!G9)</f>
        <v>22.2</v>
      </c>
      <c r="AS6" s="362">
        <f>22.2+(AS1*'Courbe In'!G9)</f>
        <v>22.2</v>
      </c>
      <c r="AT6" s="362">
        <f>22.2+(AT1*'Courbe In'!G9)</f>
        <v>22.2</v>
      </c>
      <c r="AU6" s="362">
        <f>22.2+(AU1*'Courbe In'!G9)</f>
        <v>22.2</v>
      </c>
      <c r="AV6" s="362">
        <f>22.2+(AV1*'Courbe In'!G9)</f>
        <v>22.2</v>
      </c>
      <c r="AW6" s="362">
        <f>22.2+(AW1*'Courbe In'!G9)</f>
        <v>22.2</v>
      </c>
      <c r="AX6" s="362">
        <f>22.2+(AX1*'Courbe In'!G9)</f>
        <v>22.2</v>
      </c>
      <c r="AY6" s="362">
        <f>22.2+(AY1*'Courbe In'!G9)</f>
        <v>22.2</v>
      </c>
      <c r="AZ6" s="362">
        <f>22.2+(AZ1*'Courbe In'!G9)</f>
        <v>22.2</v>
      </c>
    </row>
    <row r="7" spans="1:62" s="340" customFormat="1" ht="14.25" customHeight="1">
      <c r="A7" s="351" t="str">
        <f>IF(ISBLANK('Courbe In'!A4),"",'Courbe In'!A4)</f>
        <v/>
      </c>
      <c r="B7" s="352" t="s">
        <v>165</v>
      </c>
      <c r="C7" s="443" t="str">
        <f t="shared" ref="C7:AZ7" si="0">IF(ISBLANK(C8),"",IF(ISBLANK(C9),"",C8/(C9*C9)))</f>
        <v/>
      </c>
      <c r="D7" s="443" t="str">
        <f t="shared" ref="D7:AR7" si="1">IF(ISBLANK(D8),"",IF(ISBLANK(D9),"",D8/(D9*D9)))</f>
        <v/>
      </c>
      <c r="E7" s="443" t="str">
        <f t="shared" si="1"/>
        <v/>
      </c>
      <c r="F7" s="443" t="str">
        <f t="shared" si="1"/>
        <v/>
      </c>
      <c r="G7" s="443" t="str">
        <f t="shared" si="1"/>
        <v/>
      </c>
      <c r="H7" s="443" t="str">
        <f t="shared" si="1"/>
        <v/>
      </c>
      <c r="I7" s="443" t="str">
        <f t="shared" si="1"/>
        <v/>
      </c>
      <c r="J7" s="443" t="str">
        <f t="shared" si="1"/>
        <v/>
      </c>
      <c r="K7" s="443" t="str">
        <f t="shared" si="1"/>
        <v/>
      </c>
      <c r="L7" s="443" t="str">
        <f t="shared" si="1"/>
        <v/>
      </c>
      <c r="M7" s="443" t="str">
        <f t="shared" si="1"/>
        <v/>
      </c>
      <c r="N7" s="443" t="str">
        <f t="shared" si="1"/>
        <v/>
      </c>
      <c r="O7" s="443" t="str">
        <f t="shared" si="1"/>
        <v/>
      </c>
      <c r="P7" s="443" t="str">
        <f t="shared" si="1"/>
        <v/>
      </c>
      <c r="Q7" s="443" t="str">
        <f t="shared" si="1"/>
        <v/>
      </c>
      <c r="R7" s="443" t="str">
        <f t="shared" si="1"/>
        <v/>
      </c>
      <c r="S7" s="443" t="str">
        <f t="shared" si="1"/>
        <v/>
      </c>
      <c r="T7" s="443" t="str">
        <f t="shared" si="1"/>
        <v/>
      </c>
      <c r="U7" s="443" t="str">
        <f t="shared" si="1"/>
        <v/>
      </c>
      <c r="V7" s="443" t="str">
        <f t="shared" si="1"/>
        <v/>
      </c>
      <c r="W7" s="443" t="str">
        <f t="shared" si="1"/>
        <v/>
      </c>
      <c r="X7" s="443" t="str">
        <f t="shared" si="1"/>
        <v/>
      </c>
      <c r="Y7" s="443" t="str">
        <f t="shared" si="1"/>
        <v/>
      </c>
      <c r="Z7" s="443" t="str">
        <f t="shared" si="1"/>
        <v/>
      </c>
      <c r="AA7" s="443" t="str">
        <f t="shared" si="1"/>
        <v/>
      </c>
      <c r="AB7" s="443" t="str">
        <f t="shared" si="1"/>
        <v/>
      </c>
      <c r="AC7" s="443" t="str">
        <f t="shared" si="1"/>
        <v/>
      </c>
      <c r="AD7" s="443" t="str">
        <f t="shared" si="1"/>
        <v/>
      </c>
      <c r="AE7" s="443" t="str">
        <f t="shared" si="1"/>
        <v/>
      </c>
      <c r="AF7" s="443" t="str">
        <f t="shared" si="1"/>
        <v/>
      </c>
      <c r="AG7" s="443" t="str">
        <f t="shared" si="1"/>
        <v/>
      </c>
      <c r="AH7" s="443" t="str">
        <f t="shared" si="1"/>
        <v/>
      </c>
      <c r="AI7" s="443" t="str">
        <f t="shared" si="1"/>
        <v/>
      </c>
      <c r="AJ7" s="443" t="str">
        <f t="shared" si="1"/>
        <v/>
      </c>
      <c r="AK7" s="443" t="str">
        <f t="shared" si="1"/>
        <v/>
      </c>
      <c r="AL7" s="443" t="str">
        <f t="shared" si="1"/>
        <v/>
      </c>
      <c r="AM7" s="443" t="str">
        <f t="shared" si="1"/>
        <v/>
      </c>
      <c r="AN7" s="443" t="str">
        <f t="shared" si="1"/>
        <v/>
      </c>
      <c r="AO7" s="443" t="str">
        <f t="shared" si="1"/>
        <v/>
      </c>
      <c r="AP7" s="443" t="str">
        <f t="shared" si="1"/>
        <v/>
      </c>
      <c r="AQ7" s="443" t="str">
        <f t="shared" si="1"/>
        <v/>
      </c>
      <c r="AR7" s="443" t="str">
        <f t="shared" si="1"/>
        <v/>
      </c>
      <c r="AS7" s="340" t="str">
        <f t="shared" si="0"/>
        <v/>
      </c>
      <c r="AT7" s="340" t="str">
        <f t="shared" si="0"/>
        <v/>
      </c>
      <c r="AU7" s="340" t="str">
        <f t="shared" si="0"/>
        <v/>
      </c>
      <c r="AV7" s="340" t="str">
        <f t="shared" si="0"/>
        <v/>
      </c>
      <c r="AW7" s="340" t="str">
        <f t="shared" si="0"/>
        <v/>
      </c>
      <c r="AX7" s="340" t="str">
        <f t="shared" si="0"/>
        <v/>
      </c>
      <c r="AY7" s="340" t="str">
        <f t="shared" si="0"/>
        <v/>
      </c>
      <c r="AZ7" s="340" t="str">
        <f t="shared" si="0"/>
        <v/>
      </c>
      <c r="BA7" s="340" t="str">
        <f t="shared" ref="BA7:BJ7" si="2">IF(ISBLANK(BA8),"",IF(ISBLANK(BA9),"",BA8/(BA9*BA9)))</f>
        <v/>
      </c>
      <c r="BB7" s="340" t="str">
        <f t="shared" si="2"/>
        <v/>
      </c>
      <c r="BC7" s="340" t="str">
        <f t="shared" si="2"/>
        <v/>
      </c>
      <c r="BD7" s="340" t="str">
        <f t="shared" si="2"/>
        <v/>
      </c>
      <c r="BE7" s="340" t="str">
        <f t="shared" si="2"/>
        <v/>
      </c>
      <c r="BF7" s="340" t="str">
        <f t="shared" si="2"/>
        <v/>
      </c>
      <c r="BG7" s="340" t="str">
        <f t="shared" si="2"/>
        <v/>
      </c>
      <c r="BH7" s="340" t="str">
        <f t="shared" si="2"/>
        <v/>
      </c>
      <c r="BI7" s="340" t="str">
        <f t="shared" si="2"/>
        <v/>
      </c>
      <c r="BJ7" s="340" t="str">
        <f t="shared" si="2"/>
        <v/>
      </c>
    </row>
    <row r="8" spans="1:62" ht="14.25" customHeight="1">
      <c r="A8" s="353" t="s">
        <v>391</v>
      </c>
      <c r="B8" s="354" t="s">
        <v>399</v>
      </c>
      <c r="C8" s="444"/>
      <c r="D8" s="444"/>
      <c r="E8" s="444"/>
      <c r="F8" s="444"/>
      <c r="G8" s="444"/>
      <c r="H8" s="444"/>
      <c r="I8" s="444"/>
      <c r="J8" s="444"/>
      <c r="K8" s="444"/>
      <c r="L8" s="444"/>
      <c r="M8" s="444"/>
      <c r="N8" s="444"/>
      <c r="O8" s="444"/>
      <c r="P8" s="444"/>
      <c r="Q8" s="444"/>
      <c r="R8" s="444"/>
      <c r="S8" s="444"/>
      <c r="T8" s="444"/>
      <c r="U8" s="444"/>
      <c r="V8" s="444"/>
      <c r="W8" s="444"/>
      <c r="X8" s="444"/>
      <c r="Y8" s="444"/>
      <c r="Z8" s="444"/>
      <c r="AA8" s="444"/>
      <c r="AB8" s="444"/>
      <c r="AC8" s="444"/>
      <c r="AD8" s="444"/>
      <c r="AE8" s="444"/>
      <c r="AF8" s="444"/>
      <c r="AG8" s="444"/>
      <c r="AH8" s="444"/>
      <c r="AI8" s="444"/>
      <c r="AJ8" s="444"/>
      <c r="AK8" s="444"/>
      <c r="AL8" s="444"/>
      <c r="AM8" s="444"/>
      <c r="AN8" s="444"/>
      <c r="AO8" s="444"/>
      <c r="AP8" s="444"/>
      <c r="AQ8" s="444"/>
      <c r="AR8" s="444"/>
      <c r="AS8" s="341"/>
      <c r="AT8" s="341"/>
      <c r="AU8" s="341"/>
      <c r="AV8" s="341"/>
      <c r="AW8" s="341"/>
      <c r="AX8" s="341"/>
      <c r="AY8" s="341"/>
      <c r="AZ8" s="341"/>
      <c r="BA8" s="342"/>
      <c r="BB8" s="342"/>
      <c r="BC8" s="342"/>
      <c r="BD8" s="342"/>
      <c r="BE8" s="342"/>
      <c r="BF8" s="342"/>
      <c r="BG8" s="342"/>
      <c r="BH8" s="342"/>
      <c r="BI8" s="342"/>
      <c r="BJ8" s="342"/>
    </row>
    <row r="9" spans="1:62" ht="14.25" customHeight="1">
      <c r="A9" s="355" t="str">
        <f>IF(ISBLANK(Accueil!B13),"",Accueil!B13)</f>
        <v/>
      </c>
      <c r="B9" s="356" t="s">
        <v>398</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5"/>
      <c r="AL9" s="445"/>
      <c r="AM9" s="445"/>
      <c r="AN9" s="445"/>
      <c r="AO9" s="445"/>
      <c r="AP9" s="445"/>
      <c r="AQ9" s="445"/>
      <c r="AR9" s="445"/>
      <c r="AS9" s="343"/>
      <c r="AT9" s="343"/>
      <c r="AU9" s="343"/>
      <c r="AV9" s="343"/>
      <c r="AW9" s="343"/>
      <c r="AX9" s="343"/>
      <c r="AY9" s="343"/>
      <c r="AZ9" s="343"/>
      <c r="BA9" s="342"/>
      <c r="BB9" s="342"/>
      <c r="BC9" s="342"/>
      <c r="BD9" s="342"/>
      <c r="BE9" s="342"/>
      <c r="BF9" s="342"/>
      <c r="BG9" s="342"/>
      <c r="BH9" s="342"/>
      <c r="BI9" s="342"/>
      <c r="BJ9" s="342"/>
    </row>
    <row r="10" spans="1:62" ht="14.25" customHeight="1">
      <c r="B10" s="358" t="s">
        <v>207</v>
      </c>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46"/>
      <c r="AS10" s="344"/>
      <c r="AT10" s="344"/>
      <c r="AU10" s="344"/>
      <c r="AV10" s="344"/>
      <c r="AW10" s="344"/>
      <c r="AX10" s="344"/>
      <c r="AY10" s="344"/>
      <c r="AZ10" s="344"/>
      <c r="BA10" s="342"/>
      <c r="BB10" s="342"/>
      <c r="BC10" s="342"/>
      <c r="BD10" s="342"/>
      <c r="BE10" s="342"/>
      <c r="BF10" s="342"/>
      <c r="BG10" s="342"/>
      <c r="BH10" s="342"/>
      <c r="BI10" s="342"/>
      <c r="BJ10" s="342"/>
    </row>
    <row r="11" spans="1:62" ht="14.25" customHeight="1">
      <c r="B11" s="359" t="s">
        <v>392</v>
      </c>
      <c r="C11" s="447" t="str">
        <f>IF(ISBLANK(C10),"",(C10-'Courbe In'!$A$6)/365.25)</f>
        <v/>
      </c>
      <c r="D11" s="447" t="str">
        <f>IF(ISBLANK(D10),"",(D10-'Courbe In'!$A$6)/365.25)</f>
        <v/>
      </c>
      <c r="E11" s="447" t="str">
        <f>IF(ISBLANK(E10),"",(E10-'Courbe In'!$A$6)/365.25)</f>
        <v/>
      </c>
      <c r="F11" s="447" t="str">
        <f>IF(ISBLANK(F10),"",(F10-'Courbe In'!$A$6)/365.25)</f>
        <v/>
      </c>
      <c r="G11" s="447" t="str">
        <f>IF(ISBLANK(G10),"",(G10-'Courbe In'!$A$6)/365.25)</f>
        <v/>
      </c>
      <c r="H11" s="447" t="str">
        <f>IF(ISBLANK(H10),"",(H10-'Courbe In'!$A$6)/365.25)</f>
        <v/>
      </c>
      <c r="I11" s="447" t="str">
        <f>IF(ISBLANK(I10),"",(I10-'Courbe In'!$A$6)/365.25)</f>
        <v/>
      </c>
      <c r="J11" s="447" t="str">
        <f>IF(ISBLANK(J10),"",(J10-'Courbe In'!$A$6)/365.25)</f>
        <v/>
      </c>
      <c r="K11" s="447" t="str">
        <f>IF(ISBLANK(K10),"",(K10-'Courbe In'!$A$6)/365.25)</f>
        <v/>
      </c>
      <c r="L11" s="447" t="str">
        <f>IF(ISBLANK(L10),"",(L10-'Courbe In'!$A$6)/365.25)</f>
        <v/>
      </c>
      <c r="M11" s="447" t="str">
        <f>IF(ISBLANK(M10),"",(M10-'Courbe In'!$A$6)/365.25)</f>
        <v/>
      </c>
      <c r="N11" s="447" t="str">
        <f>IF(ISBLANK(N10),"",(N10-'Courbe In'!$A$6)/365.25)</f>
        <v/>
      </c>
      <c r="O11" s="447" t="str">
        <f>IF(ISBLANK(O10),"",(O10-'Courbe In'!$A$6)/365.25)</f>
        <v/>
      </c>
      <c r="P11" s="447" t="str">
        <f>IF(ISBLANK(P10),"",(P10-'Courbe In'!$A$6)/365.25)</f>
        <v/>
      </c>
      <c r="Q11" s="447" t="str">
        <f>IF(ISBLANK(Q10),"",(Q10-'Courbe In'!$A$6)/365.25)</f>
        <v/>
      </c>
      <c r="R11" s="447" t="str">
        <f>IF(ISBLANK(R10),"",(R10-'Courbe In'!$A$6)/365.25)</f>
        <v/>
      </c>
      <c r="S11" s="447" t="str">
        <f>IF(ISBLANK(S10),"",(S10-'Courbe In'!$A$6)/365.25)</f>
        <v/>
      </c>
      <c r="T11" s="447" t="str">
        <f>IF(ISBLANK(T10),"",(T10-'Courbe In'!$A$6)/365.25)</f>
        <v/>
      </c>
      <c r="U11" s="447" t="str">
        <f>IF(ISBLANK(U10),"",(U10-'Courbe In'!$A$6)/365.25)</f>
        <v/>
      </c>
      <c r="V11" s="447" t="str">
        <f>IF(ISBLANK(V10),"",(V10-'Courbe In'!$A$6)/365.25)</f>
        <v/>
      </c>
      <c r="W11" s="447" t="str">
        <f>IF(ISBLANK(W10),"",(W10-'Courbe In'!$A$6)/365.25)</f>
        <v/>
      </c>
      <c r="X11" s="447" t="str">
        <f>IF(ISBLANK(X10),"",(X10-'Courbe In'!$A$6)/365.25)</f>
        <v/>
      </c>
      <c r="Y11" s="447" t="str">
        <f>IF(ISBLANK(Y10),"",(Y10-'Courbe In'!$A$6)/365.25)</f>
        <v/>
      </c>
      <c r="Z11" s="447" t="str">
        <f>IF(ISBLANK(Z10),"",(Z10-'Courbe In'!$A$6)/365.25)</f>
        <v/>
      </c>
      <c r="AA11" s="447" t="str">
        <f>IF(ISBLANK(AA10),"",(AA10-'Courbe In'!$A$6)/365.25)</f>
        <v/>
      </c>
      <c r="AB11" s="447" t="str">
        <f>IF(ISBLANK(AB10),"",(AB10-'Courbe In'!$A$6)/365.25)</f>
        <v/>
      </c>
      <c r="AC11" s="447" t="str">
        <f>IF(ISBLANK(AC10),"",(AC10-'Courbe In'!$A$6)/365.25)</f>
        <v/>
      </c>
      <c r="AD11" s="447" t="str">
        <f>IF(ISBLANK(AD10),"",(AD10-'Courbe In'!$A$6)/365.25)</f>
        <v/>
      </c>
      <c r="AE11" s="447" t="str">
        <f>IF(ISBLANK(AE10),"",(AE10-'Courbe In'!$A$6)/365.25)</f>
        <v/>
      </c>
      <c r="AF11" s="447" t="str">
        <f>IF(ISBLANK(AF10),"",(AF10-'Courbe In'!$A$6)/365.25)</f>
        <v/>
      </c>
      <c r="AG11" s="447" t="str">
        <f>IF(ISBLANK(AG10),"",(AG10-'Courbe In'!$A$6)/365.25)</f>
        <v/>
      </c>
      <c r="AH11" s="447" t="str">
        <f>IF(ISBLANK(AH10),"",(AH10-'Courbe In'!$A$6)/365.25)</f>
        <v/>
      </c>
      <c r="AI11" s="447" t="str">
        <f>IF(ISBLANK(AI10),"",(AI10-'Courbe In'!$A$6)/365.25)</f>
        <v/>
      </c>
      <c r="AJ11" s="447" t="str">
        <f>IF(ISBLANK(AJ10),"",(AJ10-'Courbe In'!$A$6)/365.25)</f>
        <v/>
      </c>
      <c r="AK11" s="447" t="str">
        <f>IF(ISBLANK(AK10),"",(AK10-'Courbe In'!$A$6)/365.25)</f>
        <v/>
      </c>
      <c r="AL11" s="447" t="str">
        <f>IF(ISBLANK(AL10),"",(AL10-'Courbe In'!$A$6)/365.25)</f>
        <v/>
      </c>
      <c r="AM11" s="447" t="str">
        <f>IF(ISBLANK(AM10),"",(AM10-'Courbe In'!$A$6)/365.25)</f>
        <v/>
      </c>
      <c r="AN11" s="447" t="str">
        <f>IF(ISBLANK(AN10),"",(AN10-'Courbe In'!$A$6)/365.25)</f>
        <v/>
      </c>
      <c r="AO11" s="447" t="str">
        <f>IF(ISBLANK(AO10),"",(AO10-'Courbe In'!$A$6)/365.25)</f>
        <v/>
      </c>
      <c r="AP11" s="447" t="str">
        <f>IF(ISBLANK(AP10),"",(AP10-'Courbe In'!$A$6)/365.25)</f>
        <v/>
      </c>
      <c r="AQ11" s="447" t="str">
        <f>IF(ISBLANK(AQ10),"",(AQ10-'Courbe In'!$A$6)/365.25)</f>
        <v/>
      </c>
      <c r="AR11" s="447" t="str">
        <f>IF(ISBLANK(AR10),"",(AR10-'Courbe In'!$A$6)/365.25)</f>
        <v/>
      </c>
      <c r="AS11" s="345" t="str">
        <f>IF(ISBLANK(AS10),"",(AS10-'Courbe In'!$A$6)/365.25)</f>
        <v/>
      </c>
      <c r="AT11" s="345" t="str">
        <f>IF(ISBLANK(AT10),"",(AT10-'Courbe In'!$A$6)/365.25)</f>
        <v/>
      </c>
      <c r="AU11" s="345" t="str">
        <f>IF(ISBLANK(AU10),"",(AU10-'Courbe In'!$A$6)/365.25)</f>
        <v/>
      </c>
      <c r="AV11" s="345" t="str">
        <f>IF(ISBLANK(AV10),"",(AV10-'Courbe In'!$A$6)/365.25)</f>
        <v/>
      </c>
      <c r="AW11" s="345" t="str">
        <f>IF(ISBLANK(AW10),"",(AW10-'Courbe In'!$A$6)/365.25)</f>
        <v/>
      </c>
      <c r="AX11" s="345" t="str">
        <f>IF(ISBLANK(AX10),"",(AX10-'Courbe In'!$A$6)/365.25)</f>
        <v/>
      </c>
      <c r="AY11" s="345" t="str">
        <f>IF(ISBLANK(AY10),"",(AY10-'Courbe In'!$A$6)/365.25)</f>
        <v/>
      </c>
      <c r="AZ11" s="345" t="str">
        <f>IF(ISBLANK(AZ10),"",(AZ10-'Courbe In'!$A$6)/365.25)</f>
        <v/>
      </c>
      <c r="BA11" s="345" t="str">
        <f>IF(ISBLANK(BA10),"",(BA10-'Courbe In'!$A$6)/365.25)</f>
        <v/>
      </c>
      <c r="BB11" s="345" t="str">
        <f>IF(ISBLANK(BB10),"",(BB10-'Courbe In'!$A$6)/365.25)</f>
        <v/>
      </c>
      <c r="BC11" s="345" t="str">
        <f>IF(ISBLANK(BC10),"",(BC10-'Courbe In'!$A$6)/365.25)</f>
        <v/>
      </c>
      <c r="BD11" s="345" t="str">
        <f>IF(ISBLANK(BD10),"",(BD10-'Courbe In'!$A$6)/365.25)</f>
        <v/>
      </c>
      <c r="BE11" s="345" t="str">
        <f>IF(ISBLANK(BE10),"",(BE10-'Courbe In'!$A$6)/365.25)</f>
        <v/>
      </c>
      <c r="BF11" s="345" t="str">
        <f>IF(ISBLANK(BF10),"",(BF10-'Courbe In'!$A$6)/365.25)</f>
        <v/>
      </c>
      <c r="BG11" s="345" t="str">
        <f>IF(ISBLANK(BG10),"",(BG10-'Courbe In'!$A$6)/365.25)</f>
        <v/>
      </c>
      <c r="BH11" s="345" t="str">
        <f>IF(ISBLANK(BH10),"",(BH10-'Courbe In'!$A$6)/365.25)</f>
        <v/>
      </c>
      <c r="BI11" s="345" t="str">
        <f>IF(ISBLANK(BI10),"",(BI10-'Courbe In'!$A$6)/365.25)</f>
        <v/>
      </c>
      <c r="BJ11" s="345" t="str">
        <f>IF(ISBLANK(BJ10),"",(BJ10-'Courbe In'!$A$6)/365.25)</f>
        <v/>
      </c>
    </row>
    <row r="12" spans="1:62" s="365" customFormat="1">
      <c r="A12" s="363"/>
      <c r="B12" s="364"/>
      <c r="C12" s="439"/>
    </row>
    <row r="13" spans="1:62" s="365" customFormat="1">
      <c r="A13" s="363"/>
      <c r="B13" s="364"/>
    </row>
    <row r="14" spans="1:62" s="365" customFormat="1">
      <c r="A14" s="363"/>
      <c r="B14" s="364"/>
    </row>
    <row r="15" spans="1:62" s="365" customFormat="1">
      <c r="A15" s="363"/>
      <c r="B15" s="364"/>
    </row>
    <row r="16" spans="1:62" s="365" customFormat="1">
      <c r="A16" s="363"/>
      <c r="B16" s="364"/>
      <c r="H16" s="440"/>
    </row>
    <row r="17" spans="1:52" s="365" customFormat="1">
      <c r="A17" s="363"/>
      <c r="B17" s="364"/>
      <c r="H17" s="441" t="e">
        <f ca="1">(NOW()-('Courbe In'!A6))/365.25</f>
        <v>#VALUE!</v>
      </c>
      <c r="N17" s="439"/>
    </row>
    <row r="18" spans="1:52" s="365" customFormat="1">
      <c r="A18" s="363"/>
      <c r="B18" s="364"/>
      <c r="N18" s="439"/>
    </row>
    <row r="19" spans="1:52" s="365" customFormat="1">
      <c r="A19" s="363"/>
      <c r="B19" s="364"/>
      <c r="C19" s="439" t="str">
        <f>C7</f>
        <v/>
      </c>
      <c r="D19" s="439" t="str">
        <f>D7</f>
        <v/>
      </c>
      <c r="E19" s="439" t="str">
        <f>E7</f>
        <v/>
      </c>
      <c r="F19" s="439" t="str">
        <f t="shared" ref="F19:AZ19" si="3">F7</f>
        <v/>
      </c>
      <c r="G19" s="439" t="str">
        <f t="shared" si="3"/>
        <v/>
      </c>
      <c r="H19" s="439" t="str">
        <f t="shared" si="3"/>
        <v/>
      </c>
      <c r="I19" s="439" t="str">
        <f t="shared" si="3"/>
        <v/>
      </c>
      <c r="J19" s="439" t="str">
        <f t="shared" si="3"/>
        <v/>
      </c>
      <c r="K19" s="439" t="str">
        <f t="shared" si="3"/>
        <v/>
      </c>
      <c r="L19" s="439" t="str">
        <f t="shared" si="3"/>
        <v/>
      </c>
      <c r="M19" s="439" t="str">
        <f t="shared" si="3"/>
        <v/>
      </c>
      <c r="N19" s="439" t="str">
        <f t="shared" si="3"/>
        <v/>
      </c>
      <c r="O19" s="439" t="str">
        <f t="shared" si="3"/>
        <v/>
      </c>
      <c r="P19" s="439" t="str">
        <f t="shared" si="3"/>
        <v/>
      </c>
      <c r="Q19" s="439" t="str">
        <f t="shared" si="3"/>
        <v/>
      </c>
      <c r="R19" s="439" t="str">
        <f t="shared" si="3"/>
        <v/>
      </c>
      <c r="S19" s="439" t="str">
        <f t="shared" si="3"/>
        <v/>
      </c>
      <c r="T19" s="439" t="str">
        <f t="shared" si="3"/>
        <v/>
      </c>
      <c r="U19" s="439" t="str">
        <f t="shared" si="3"/>
        <v/>
      </c>
      <c r="V19" s="439" t="str">
        <f t="shared" si="3"/>
        <v/>
      </c>
      <c r="W19" s="439" t="str">
        <f t="shared" si="3"/>
        <v/>
      </c>
      <c r="X19" s="439" t="str">
        <f t="shared" si="3"/>
        <v/>
      </c>
      <c r="Y19" s="439" t="str">
        <f t="shared" si="3"/>
        <v/>
      </c>
      <c r="Z19" s="439" t="str">
        <f t="shared" si="3"/>
        <v/>
      </c>
      <c r="AA19" s="439" t="str">
        <f t="shared" si="3"/>
        <v/>
      </c>
      <c r="AB19" s="439" t="str">
        <f t="shared" si="3"/>
        <v/>
      </c>
      <c r="AC19" s="439" t="str">
        <f t="shared" si="3"/>
        <v/>
      </c>
      <c r="AD19" s="439" t="str">
        <f t="shared" si="3"/>
        <v/>
      </c>
      <c r="AE19" s="439" t="str">
        <f t="shared" si="3"/>
        <v/>
      </c>
      <c r="AF19" s="439" t="str">
        <f t="shared" si="3"/>
        <v/>
      </c>
      <c r="AG19" s="439" t="str">
        <f t="shared" si="3"/>
        <v/>
      </c>
      <c r="AH19" s="439" t="str">
        <f t="shared" si="3"/>
        <v/>
      </c>
      <c r="AI19" s="439" t="str">
        <f t="shared" si="3"/>
        <v/>
      </c>
      <c r="AJ19" s="439" t="str">
        <f t="shared" si="3"/>
        <v/>
      </c>
      <c r="AK19" s="439" t="str">
        <f t="shared" si="3"/>
        <v/>
      </c>
      <c r="AL19" s="439" t="str">
        <f t="shared" si="3"/>
        <v/>
      </c>
      <c r="AM19" s="439" t="str">
        <f t="shared" si="3"/>
        <v/>
      </c>
      <c r="AN19" s="439" t="str">
        <f t="shared" si="3"/>
        <v/>
      </c>
      <c r="AO19" s="439" t="str">
        <f t="shared" si="3"/>
        <v/>
      </c>
      <c r="AP19" s="439" t="str">
        <f t="shared" si="3"/>
        <v/>
      </c>
      <c r="AQ19" s="439" t="str">
        <f t="shared" si="3"/>
        <v/>
      </c>
      <c r="AR19" s="439" t="str">
        <f t="shared" si="3"/>
        <v/>
      </c>
      <c r="AS19" s="439" t="str">
        <f t="shared" si="3"/>
        <v/>
      </c>
      <c r="AT19" s="439" t="str">
        <f t="shared" si="3"/>
        <v/>
      </c>
      <c r="AU19" s="439" t="str">
        <f t="shared" si="3"/>
        <v/>
      </c>
      <c r="AV19" s="439" t="str">
        <f t="shared" si="3"/>
        <v/>
      </c>
      <c r="AW19" s="439" t="str">
        <f t="shared" si="3"/>
        <v/>
      </c>
      <c r="AX19" s="439" t="str">
        <f t="shared" si="3"/>
        <v/>
      </c>
      <c r="AY19" s="439" t="str">
        <f t="shared" si="3"/>
        <v/>
      </c>
      <c r="AZ19" s="439" t="str">
        <f t="shared" si="3"/>
        <v/>
      </c>
    </row>
    <row r="20" spans="1:52" s="365" customFormat="1">
      <c r="A20" s="363"/>
      <c r="B20" s="364"/>
      <c r="C20" s="365">
        <f>IF(ISBLANK(C10),22,C11)</f>
        <v>22</v>
      </c>
      <c r="D20" s="365">
        <f>IF(ISBLANK(D10),22,D11)</f>
        <v>22</v>
      </c>
      <c r="E20" s="365">
        <f t="shared" ref="E20:AZ20" si="4">IF(ISBLANK(E10),22,E11)</f>
        <v>22</v>
      </c>
      <c r="F20" s="365">
        <f t="shared" si="4"/>
        <v>22</v>
      </c>
      <c r="G20" s="365">
        <f t="shared" si="4"/>
        <v>22</v>
      </c>
      <c r="H20" s="365">
        <f t="shared" si="4"/>
        <v>22</v>
      </c>
      <c r="I20" s="365">
        <f t="shared" si="4"/>
        <v>22</v>
      </c>
      <c r="J20" s="365">
        <f t="shared" si="4"/>
        <v>22</v>
      </c>
      <c r="K20" s="365">
        <f t="shared" si="4"/>
        <v>22</v>
      </c>
      <c r="L20" s="365">
        <f t="shared" si="4"/>
        <v>22</v>
      </c>
      <c r="M20" s="365">
        <f t="shared" si="4"/>
        <v>22</v>
      </c>
      <c r="N20" s="365">
        <f t="shared" si="4"/>
        <v>22</v>
      </c>
      <c r="O20" s="365">
        <f t="shared" si="4"/>
        <v>22</v>
      </c>
      <c r="P20" s="365">
        <f t="shared" si="4"/>
        <v>22</v>
      </c>
      <c r="Q20" s="365">
        <f t="shared" si="4"/>
        <v>22</v>
      </c>
      <c r="R20" s="365">
        <f t="shared" si="4"/>
        <v>22</v>
      </c>
      <c r="S20" s="365">
        <f t="shared" si="4"/>
        <v>22</v>
      </c>
      <c r="T20" s="365">
        <f t="shared" si="4"/>
        <v>22</v>
      </c>
      <c r="U20" s="365">
        <f t="shared" si="4"/>
        <v>22</v>
      </c>
      <c r="V20" s="365">
        <f t="shared" si="4"/>
        <v>22</v>
      </c>
      <c r="W20" s="365">
        <f t="shared" si="4"/>
        <v>22</v>
      </c>
      <c r="X20" s="365">
        <f t="shared" si="4"/>
        <v>22</v>
      </c>
      <c r="Y20" s="365">
        <f t="shared" si="4"/>
        <v>22</v>
      </c>
      <c r="Z20" s="365">
        <f t="shared" si="4"/>
        <v>22</v>
      </c>
      <c r="AA20" s="365">
        <f t="shared" si="4"/>
        <v>22</v>
      </c>
      <c r="AB20" s="365">
        <f t="shared" si="4"/>
        <v>22</v>
      </c>
      <c r="AC20" s="365">
        <f t="shared" si="4"/>
        <v>22</v>
      </c>
      <c r="AD20" s="365">
        <f t="shared" si="4"/>
        <v>22</v>
      </c>
      <c r="AE20" s="365">
        <f t="shared" si="4"/>
        <v>22</v>
      </c>
      <c r="AF20" s="365">
        <f t="shared" si="4"/>
        <v>22</v>
      </c>
      <c r="AG20" s="365">
        <f t="shared" si="4"/>
        <v>22</v>
      </c>
      <c r="AH20" s="365">
        <f t="shared" si="4"/>
        <v>22</v>
      </c>
      <c r="AI20" s="365">
        <f t="shared" si="4"/>
        <v>22</v>
      </c>
      <c r="AJ20" s="365">
        <f t="shared" si="4"/>
        <v>22</v>
      </c>
      <c r="AK20" s="365">
        <f t="shared" si="4"/>
        <v>22</v>
      </c>
      <c r="AL20" s="365">
        <f t="shared" si="4"/>
        <v>22</v>
      </c>
      <c r="AM20" s="365">
        <f t="shared" si="4"/>
        <v>22</v>
      </c>
      <c r="AN20" s="365">
        <f t="shared" si="4"/>
        <v>22</v>
      </c>
      <c r="AO20" s="365">
        <f t="shared" si="4"/>
        <v>22</v>
      </c>
      <c r="AP20" s="365">
        <f t="shared" si="4"/>
        <v>22</v>
      </c>
      <c r="AQ20" s="365">
        <f t="shared" si="4"/>
        <v>22</v>
      </c>
      <c r="AR20" s="365">
        <f t="shared" si="4"/>
        <v>22</v>
      </c>
      <c r="AS20" s="365">
        <f t="shared" si="4"/>
        <v>22</v>
      </c>
      <c r="AT20" s="365">
        <f t="shared" si="4"/>
        <v>22</v>
      </c>
      <c r="AU20" s="365">
        <f t="shared" si="4"/>
        <v>22</v>
      </c>
      <c r="AV20" s="365">
        <f t="shared" si="4"/>
        <v>22</v>
      </c>
      <c r="AW20" s="365">
        <f t="shared" si="4"/>
        <v>22</v>
      </c>
      <c r="AX20" s="365">
        <f t="shared" si="4"/>
        <v>22</v>
      </c>
      <c r="AY20" s="365">
        <f t="shared" si="4"/>
        <v>22</v>
      </c>
      <c r="AZ20" s="365">
        <f t="shared" si="4"/>
        <v>22</v>
      </c>
    </row>
    <row r="21" spans="1:52" s="365" customFormat="1">
      <c r="A21" s="363"/>
      <c r="B21" s="364"/>
      <c r="N21" s="439"/>
      <c r="P21" s="442"/>
    </row>
    <row r="22" spans="1:52" s="365" customFormat="1">
      <c r="A22" s="363"/>
      <c r="B22" s="364"/>
      <c r="N22" s="439"/>
      <c r="P22" s="442"/>
    </row>
    <row r="23" spans="1:52" s="365" customFormat="1">
      <c r="A23" s="363"/>
      <c r="B23" s="364"/>
      <c r="N23" s="439"/>
      <c r="P23" s="442"/>
    </row>
    <row r="24" spans="1:52" s="365" customFormat="1">
      <c r="A24" s="363"/>
      <c r="B24" s="364"/>
      <c r="N24" s="439"/>
      <c r="P24" s="442"/>
    </row>
    <row r="25" spans="1:52" s="365" customFormat="1">
      <c r="A25" s="363"/>
      <c r="B25" s="364"/>
      <c r="C25" s="442"/>
      <c r="D25" s="442"/>
      <c r="N25" s="439"/>
      <c r="P25" s="442"/>
    </row>
    <row r="26" spans="1:52" s="365" customFormat="1">
      <c r="A26" s="363"/>
      <c r="B26" s="364"/>
      <c r="M26" s="439"/>
      <c r="N26" s="439"/>
      <c r="P26" s="442"/>
    </row>
    <row r="27" spans="1:52" s="365" customFormat="1">
      <c r="A27" s="363"/>
      <c r="B27" s="364"/>
      <c r="M27" s="439"/>
      <c r="N27" s="439"/>
      <c r="P27" s="442"/>
    </row>
    <row r="28" spans="1:52" s="365" customFormat="1">
      <c r="A28" s="363"/>
      <c r="B28" s="364"/>
      <c r="M28" s="439"/>
      <c r="N28" s="439"/>
      <c r="P28" s="442"/>
    </row>
    <row r="29" spans="1:52" s="365" customFormat="1">
      <c r="A29" s="363"/>
      <c r="B29" s="364"/>
      <c r="M29" s="439"/>
      <c r="N29" s="439"/>
    </row>
    <row r="30" spans="1:52" s="365" customFormat="1">
      <c r="A30" s="363"/>
      <c r="B30" s="364"/>
      <c r="M30" s="439"/>
      <c r="N30" s="439"/>
    </row>
    <row r="31" spans="1:52" s="365" customFormat="1">
      <c r="A31" s="363"/>
      <c r="B31" s="364"/>
      <c r="M31" s="439"/>
      <c r="N31" s="439"/>
    </row>
    <row r="32" spans="1:52" s="365" customFormat="1">
      <c r="A32" s="363"/>
      <c r="B32" s="364"/>
      <c r="M32" s="439"/>
      <c r="N32" s="439"/>
    </row>
    <row r="33" spans="1:24" s="365" customFormat="1">
      <c r="A33" s="363"/>
      <c r="B33" s="364"/>
      <c r="M33" s="439"/>
      <c r="N33" s="439"/>
    </row>
    <row r="34" spans="1:24" s="365" customFormat="1">
      <c r="A34" s="363"/>
      <c r="B34" s="364"/>
      <c r="D34" s="442"/>
      <c r="M34" s="439"/>
      <c r="N34" s="439"/>
    </row>
    <row r="35" spans="1:24" s="365" customFormat="1">
      <c r="A35" s="363"/>
      <c r="B35" s="364"/>
      <c r="D35" s="442"/>
      <c r="M35" s="439"/>
      <c r="N35" s="439"/>
    </row>
    <row r="36" spans="1:24" s="365" customFormat="1">
      <c r="A36" s="363"/>
      <c r="B36" s="364"/>
      <c r="D36" s="442"/>
      <c r="M36" s="439"/>
      <c r="N36" s="439"/>
    </row>
    <row r="37" spans="1:24" s="365" customFormat="1">
      <c r="A37" s="363"/>
      <c r="B37" s="364"/>
      <c r="D37" s="442"/>
      <c r="M37" s="439"/>
      <c r="N37" s="439"/>
    </row>
    <row r="38" spans="1:24" s="365" customFormat="1">
      <c r="A38" s="363"/>
      <c r="B38" s="364"/>
      <c r="D38" s="442"/>
      <c r="M38" s="439"/>
      <c r="N38" s="439"/>
    </row>
    <row r="39" spans="1:24" s="365" customFormat="1">
      <c r="A39" s="363"/>
      <c r="B39" s="364"/>
      <c r="M39" s="439"/>
    </row>
    <row r="40" spans="1:24" s="365" customFormat="1">
      <c r="A40" s="363"/>
      <c r="B40" s="364"/>
      <c r="M40" s="439" t="str">
        <f>Z7</f>
        <v/>
      </c>
    </row>
    <row r="41" spans="1:24" s="365" customFormat="1">
      <c r="A41" s="363"/>
      <c r="B41" s="364"/>
    </row>
    <row r="42" spans="1:24" s="365" customFormat="1">
      <c r="A42" s="363"/>
      <c r="B42" s="364"/>
    </row>
    <row r="43" spans="1:24" s="365" customFormat="1">
      <c r="A43" s="363"/>
      <c r="B43" s="364"/>
    </row>
    <row r="45" spans="1:24" s="365" customFormat="1">
      <c r="A45" s="363"/>
      <c r="B45" s="364" t="s">
        <v>208</v>
      </c>
      <c r="L45" s="365">
        <f t="shared" ref="L45:Q45" si="5">AVERAGE(L5:L6)*0.8252</f>
        <v>13.36824</v>
      </c>
      <c r="M45" s="365">
        <f t="shared" si="5"/>
        <v>13.904620000000001</v>
      </c>
      <c r="N45" s="365">
        <f t="shared" si="5"/>
        <v>14.502890000000003</v>
      </c>
      <c r="O45" s="365">
        <f t="shared" si="5"/>
        <v>14.956750000000001</v>
      </c>
      <c r="P45" s="365">
        <f t="shared" si="5"/>
        <v>15.431240000000001</v>
      </c>
      <c r="Q45" s="365">
        <f t="shared" si="5"/>
        <v>15.90573</v>
      </c>
      <c r="R45" s="365">
        <f>AVERAGE(R5:R6)*0.826</f>
        <v>16.230899999999998</v>
      </c>
      <c r="S45" s="365">
        <f>AVERAGE(S5:S6)*0.84</f>
        <v>16.673999999999999</v>
      </c>
      <c r="T45" s="365">
        <v>17</v>
      </c>
      <c r="U45" s="365">
        <v>17</v>
      </c>
      <c r="V45" s="365">
        <v>17</v>
      </c>
      <c r="W45" s="365">
        <v>17</v>
      </c>
      <c r="X45" s="365">
        <v>17</v>
      </c>
    </row>
    <row r="46" spans="1:24" s="365" customFormat="1">
      <c r="A46" s="363"/>
      <c r="B46" s="364" t="s">
        <v>422</v>
      </c>
      <c r="L46" s="365">
        <f t="shared" ref="L46:S46" si="6">AVERAGE(L5:L6)*0.777</f>
        <v>12.587400000000001</v>
      </c>
      <c r="M46" s="365">
        <f t="shared" si="6"/>
        <v>13.092450000000001</v>
      </c>
      <c r="N46" s="365">
        <f t="shared" si="6"/>
        <v>13.655775000000002</v>
      </c>
      <c r="O46" s="365">
        <f t="shared" si="6"/>
        <v>14.083125000000001</v>
      </c>
      <c r="P46" s="365">
        <f t="shared" si="6"/>
        <v>14.5299</v>
      </c>
      <c r="Q46" s="365">
        <f t="shared" si="6"/>
        <v>14.976675</v>
      </c>
      <c r="R46" s="365">
        <f t="shared" si="6"/>
        <v>15.268049999999999</v>
      </c>
      <c r="S46" s="365">
        <f t="shared" si="6"/>
        <v>15.423450000000001</v>
      </c>
      <c r="T46" s="365">
        <v>16</v>
      </c>
      <c r="U46" s="365">
        <v>16</v>
      </c>
      <c r="V46" s="365">
        <v>16</v>
      </c>
      <c r="W46" s="365">
        <v>16</v>
      </c>
      <c r="X46" s="365">
        <v>16</v>
      </c>
    </row>
    <row r="47" spans="1:24" s="365" customFormat="1">
      <c r="A47" s="363"/>
      <c r="B47" s="364" t="s">
        <v>395</v>
      </c>
      <c r="L47" s="365">
        <f t="shared" ref="L47:S47" si="7">AVERAGE(L5:L6)*0.745</f>
        <v>12.068999999999999</v>
      </c>
      <c r="M47" s="365">
        <f t="shared" si="7"/>
        <v>12.55325</v>
      </c>
      <c r="N47" s="365">
        <f t="shared" si="7"/>
        <v>13.093375000000002</v>
      </c>
      <c r="O47" s="365">
        <f t="shared" si="7"/>
        <v>13.503125000000001</v>
      </c>
      <c r="P47" s="365">
        <f t="shared" si="7"/>
        <v>13.9315</v>
      </c>
      <c r="Q47" s="365">
        <f t="shared" si="7"/>
        <v>14.359874999999999</v>
      </c>
      <c r="R47" s="365">
        <f t="shared" si="7"/>
        <v>14.639249999999999</v>
      </c>
      <c r="S47" s="365">
        <f t="shared" si="7"/>
        <v>14.788250000000001</v>
      </c>
      <c r="T47" s="365">
        <f>AVERAGE(T5:T6)*0.745</f>
        <v>14.762174999999997</v>
      </c>
      <c r="U47" s="365">
        <v>15</v>
      </c>
      <c r="V47" s="365">
        <v>15</v>
      </c>
      <c r="W47" s="365">
        <v>15</v>
      </c>
      <c r="X47" s="365">
        <v>15</v>
      </c>
    </row>
    <row r="48" spans="1:24" s="365" customFormat="1">
      <c r="A48" s="363"/>
      <c r="B48" s="364" t="s">
        <v>423</v>
      </c>
      <c r="C48" s="365">
        <f>AVERAGE(C5:C6)*1.09</f>
        <v>18.911500000000004</v>
      </c>
      <c r="D48" s="365">
        <f>AVERAGE(D5:D6)*1.11</f>
        <v>17.704499999999999</v>
      </c>
      <c r="E48" s="365">
        <f>AVERAGE(E5:E6)*1.12</f>
        <v>17.332000000000001</v>
      </c>
      <c r="F48" s="365">
        <f>AVERAGE(F5:F6)*1.124</f>
        <v>17.056700000000003</v>
      </c>
      <c r="G48" s="365">
        <f>AVERAGE(G5:G6)*1.125</f>
        <v>16.903124999999999</v>
      </c>
      <c r="H48" s="365">
        <f>AVERAGE(H5:H6)*1.145</f>
        <v>17.152100000000001</v>
      </c>
      <c r="I48" s="365">
        <f>AVERAGE(I5:I6)*1.168</f>
        <v>17.636800000000001</v>
      </c>
      <c r="J48" s="365">
        <f>AVERAGE(J5:J6)*1.19</f>
        <v>18.22485</v>
      </c>
      <c r="K48" s="365">
        <f>AVERAGE(K5:K6)*1.21</f>
        <v>18.888100000000001</v>
      </c>
      <c r="L48" s="365">
        <f>AVERAGE(L5:L6)*1.23</f>
        <v>19.925999999999998</v>
      </c>
      <c r="M48" s="365">
        <f>AVERAGE(M5:M6)*1.243</f>
        <v>20.944550000000003</v>
      </c>
      <c r="N48" s="365">
        <f>AVERAGE(N5:N6)*1.254</f>
        <v>22.039050000000003</v>
      </c>
      <c r="O48" s="365">
        <f>AVERAGE(O5:O6)*1.263</f>
        <v>22.891874999999999</v>
      </c>
      <c r="P48" s="365">
        <f>AVERAGE(P5:P6)*1.263</f>
        <v>23.618099999999998</v>
      </c>
      <c r="Q48" s="365">
        <f>AVERAGE(Q5:Q6)*1.253</f>
        <v>24.151574999999998</v>
      </c>
      <c r="R48" s="365">
        <f>AVERAGE(R5:R6)*1.245</f>
        <v>24.46425</v>
      </c>
      <c r="S48" s="365">
        <f>AVERAGE(S5:S6)*1.246</f>
        <v>24.7331</v>
      </c>
      <c r="T48" s="365">
        <v>25</v>
      </c>
      <c r="U48" s="365">
        <v>25</v>
      </c>
      <c r="V48" s="365">
        <v>25</v>
      </c>
      <c r="W48" s="365">
        <v>25</v>
      </c>
      <c r="X48" s="365">
        <v>25</v>
      </c>
    </row>
    <row r="49" spans="1:24" s="365" customFormat="1">
      <c r="A49" s="363"/>
      <c r="B49" s="364" t="s">
        <v>424</v>
      </c>
      <c r="D49" s="365">
        <f>AVERAGE(D5:D6)*1.22</f>
        <v>19.459</v>
      </c>
      <c r="E49" s="365">
        <f>AVERAGE(E5:E6)*1.24</f>
        <v>19.189</v>
      </c>
      <c r="F49" s="365">
        <f>AVERAGE(F5:F6)*1.25</f>
        <v>18.96875</v>
      </c>
      <c r="G49" s="365">
        <f>AVERAGE(G5:G6)*1.262</f>
        <v>18.961549999999999</v>
      </c>
      <c r="H49" s="365">
        <f>AVERAGE(H5:H6)*1.29</f>
        <v>19.324200000000001</v>
      </c>
      <c r="I49" s="365">
        <f>AVERAGE(I5:I6)*1.34</f>
        <v>20.234000000000002</v>
      </c>
      <c r="J49" s="365">
        <f>AVERAGE(J5:J6)*1.39</f>
        <v>21.287849999999999</v>
      </c>
      <c r="K49" s="365">
        <f>AVERAGE(K5:K6)*1.45</f>
        <v>22.634500000000003</v>
      </c>
      <c r="L49" s="365">
        <f>AVERAGE(L5:L6)*1.483</f>
        <v>24.0246</v>
      </c>
      <c r="M49" s="365">
        <f>AVERAGE(M5:M6)*1.52</f>
        <v>25.612000000000002</v>
      </c>
      <c r="N49" s="365">
        <f>AVERAGE(N5:N6)*1.54</f>
        <v>27.065500000000004</v>
      </c>
      <c r="O49" s="365">
        <f>AVERAGE(O5:O6)*1.55</f>
        <v>28.09375</v>
      </c>
      <c r="P49" s="365">
        <f>AVERAGE(P5:P6)*1.54</f>
        <v>28.797999999999998</v>
      </c>
      <c r="Q49" s="365">
        <f>AVERAGE(Q5:Q6)*1.52</f>
        <v>29.297999999999998</v>
      </c>
      <c r="R49" s="365">
        <f>AVERAGE(R5:R6)*1.51</f>
        <v>29.671499999999998</v>
      </c>
      <c r="S49" s="365">
        <f>AVERAGE(S5:S6)*1.51</f>
        <v>29.973500000000001</v>
      </c>
      <c r="T49" s="365">
        <v>30</v>
      </c>
      <c r="U49" s="365">
        <v>30</v>
      </c>
      <c r="V49" s="365">
        <v>30</v>
      </c>
      <c r="W49" s="365">
        <v>30</v>
      </c>
      <c r="X49" s="365">
        <v>30</v>
      </c>
    </row>
    <row r="50" spans="1:24" s="365" customFormat="1">
      <c r="A50" s="363"/>
      <c r="B50" s="364" t="s">
        <v>633</v>
      </c>
      <c r="C50" s="365">
        <f>AVERAGE(C51,C48)</f>
        <v>17.491750000000003</v>
      </c>
      <c r="D50" s="365">
        <f t="shared" ref="D50:X50" si="8">AVERAGE(D51,D48)</f>
        <v>16.475249999999999</v>
      </c>
      <c r="E50" s="365">
        <f t="shared" si="8"/>
        <v>15.969799999999999</v>
      </c>
      <c r="F50" s="365">
        <f t="shared" si="8"/>
        <v>15.684100000000001</v>
      </c>
      <c r="G50" s="365">
        <f t="shared" si="8"/>
        <v>15.508612499999998</v>
      </c>
      <c r="H50" s="365">
        <f t="shared" si="8"/>
        <v>15.539335000000001</v>
      </c>
      <c r="I50" s="365">
        <f t="shared" si="8"/>
        <v>15.8261</v>
      </c>
      <c r="J50" s="365">
        <f t="shared" si="8"/>
        <v>16.1448</v>
      </c>
      <c r="K50" s="365">
        <f t="shared" si="8"/>
        <v>16.659020000000002</v>
      </c>
      <c r="L50" s="365">
        <f t="shared" si="8"/>
        <v>17.365499999999997</v>
      </c>
      <c r="M50" s="365">
        <f t="shared" si="8"/>
        <v>18.1462</v>
      </c>
      <c r="N50" s="365">
        <f t="shared" si="8"/>
        <v>19.137600000000003</v>
      </c>
      <c r="O50" s="365">
        <f t="shared" si="8"/>
        <v>19.835437499999998</v>
      </c>
      <c r="P50" s="365">
        <f t="shared" si="8"/>
        <v>20.543999999999997</v>
      </c>
      <c r="Q50" s="365">
        <f t="shared" si="8"/>
        <v>21.106837499999997</v>
      </c>
      <c r="R50" s="365">
        <f t="shared" si="8"/>
        <v>21.411225000000002</v>
      </c>
      <c r="S50" s="365">
        <f t="shared" si="8"/>
        <v>21.594999999999999</v>
      </c>
      <c r="T50" s="365">
        <f t="shared" si="8"/>
        <v>21.75</v>
      </c>
      <c r="U50" s="365">
        <f t="shared" si="8"/>
        <v>21.75</v>
      </c>
      <c r="V50" s="365">
        <f t="shared" si="8"/>
        <v>21.75</v>
      </c>
      <c r="W50" s="365">
        <f t="shared" si="8"/>
        <v>21.75</v>
      </c>
      <c r="X50" s="365">
        <f t="shared" si="8"/>
        <v>21.75</v>
      </c>
    </row>
    <row r="51" spans="1:24" s="365" customFormat="1">
      <c r="A51" s="363"/>
      <c r="B51" s="364" t="s">
        <v>799</v>
      </c>
      <c r="C51" s="365">
        <f>C5*0.98</f>
        <v>16.071999999999999</v>
      </c>
      <c r="D51" s="365">
        <f>D5*0.99</f>
        <v>15.246</v>
      </c>
      <c r="E51" s="365">
        <f t="shared" ref="E51:S51" si="9">E5*0.987</f>
        <v>14.6076</v>
      </c>
      <c r="F51" s="365">
        <f t="shared" si="9"/>
        <v>14.311500000000001</v>
      </c>
      <c r="G51" s="365">
        <f t="shared" si="9"/>
        <v>14.114099999999999</v>
      </c>
      <c r="H51" s="365">
        <f t="shared" si="9"/>
        <v>13.92657</v>
      </c>
      <c r="I51" s="365">
        <f t="shared" si="9"/>
        <v>14.015400000000001</v>
      </c>
      <c r="J51" s="365">
        <f t="shared" si="9"/>
        <v>14.06475</v>
      </c>
      <c r="K51" s="365">
        <f t="shared" si="9"/>
        <v>14.42994</v>
      </c>
      <c r="L51" s="365">
        <f t="shared" si="9"/>
        <v>14.805</v>
      </c>
      <c r="M51" s="365">
        <f t="shared" si="9"/>
        <v>15.347850000000001</v>
      </c>
      <c r="N51" s="365">
        <f t="shared" si="9"/>
        <v>16.236150000000002</v>
      </c>
      <c r="O51" s="365">
        <f t="shared" si="9"/>
        <v>16.779</v>
      </c>
      <c r="P51" s="365">
        <f t="shared" si="9"/>
        <v>17.469899999999999</v>
      </c>
      <c r="Q51" s="365">
        <f t="shared" si="9"/>
        <v>18.062099999999997</v>
      </c>
      <c r="R51" s="365">
        <f t="shared" si="9"/>
        <v>18.3582</v>
      </c>
      <c r="S51" s="365">
        <f t="shared" si="9"/>
        <v>18.456900000000001</v>
      </c>
      <c r="T51" s="365">
        <v>18.5</v>
      </c>
      <c r="U51" s="365">
        <v>18.5</v>
      </c>
      <c r="V51" s="365">
        <v>18.5</v>
      </c>
      <c r="W51" s="365">
        <v>18.5</v>
      </c>
      <c r="X51" s="365">
        <v>18.5</v>
      </c>
    </row>
    <row r="52" spans="1:24" s="365" customFormat="1">
      <c r="A52" s="363"/>
      <c r="B52" s="364"/>
    </row>
    <row r="53" spans="1:24" s="365" customFormat="1">
      <c r="A53" s="363"/>
      <c r="B53" s="364"/>
    </row>
    <row r="54" spans="1:24" s="365" customFormat="1">
      <c r="A54" s="363"/>
      <c r="B54" s="364"/>
      <c r="C54" s="365">
        <v>1</v>
      </c>
      <c r="D54" s="365">
        <v>2</v>
      </c>
      <c r="E54" s="365">
        <v>3</v>
      </c>
      <c r="F54" s="365">
        <v>4</v>
      </c>
      <c r="G54" s="365">
        <v>5</v>
      </c>
      <c r="H54" s="365">
        <v>6</v>
      </c>
      <c r="I54" s="365">
        <v>7</v>
      </c>
      <c r="J54" s="365">
        <v>8</v>
      </c>
      <c r="K54" s="365">
        <v>9</v>
      </c>
      <c r="L54" s="365">
        <v>10</v>
      </c>
      <c r="M54" s="365">
        <v>11</v>
      </c>
      <c r="N54" s="365">
        <v>12</v>
      </c>
      <c r="O54" s="365">
        <v>13</v>
      </c>
      <c r="P54" s="365">
        <v>14</v>
      </c>
      <c r="Q54" s="365">
        <v>15</v>
      </c>
      <c r="R54" s="365">
        <v>16</v>
      </c>
      <c r="S54" s="365">
        <v>17</v>
      </c>
      <c r="T54" s="365">
        <v>18</v>
      </c>
      <c r="U54" s="365">
        <v>19</v>
      </c>
      <c r="V54" s="365">
        <v>20</v>
      </c>
      <c r="W54" s="365">
        <v>21</v>
      </c>
      <c r="X54" s="365">
        <v>22</v>
      </c>
    </row>
    <row r="55" spans="1:24" s="365" customFormat="1">
      <c r="A55" s="363"/>
      <c r="B55" s="364"/>
      <c r="C55" s="365">
        <f t="shared" ref="C55:X55" si="10">C48</f>
        <v>18.911500000000004</v>
      </c>
      <c r="D55" s="365">
        <f t="shared" si="10"/>
        <v>17.704499999999999</v>
      </c>
      <c r="E55" s="365">
        <f t="shared" si="10"/>
        <v>17.332000000000001</v>
      </c>
      <c r="F55" s="365">
        <f t="shared" si="10"/>
        <v>17.056700000000003</v>
      </c>
      <c r="G55" s="365">
        <f t="shared" si="10"/>
        <v>16.903124999999999</v>
      </c>
      <c r="H55" s="365">
        <f t="shared" si="10"/>
        <v>17.152100000000001</v>
      </c>
      <c r="I55" s="365">
        <f t="shared" si="10"/>
        <v>17.636800000000001</v>
      </c>
      <c r="J55" s="365">
        <f t="shared" si="10"/>
        <v>18.22485</v>
      </c>
      <c r="K55" s="365">
        <f t="shared" si="10"/>
        <v>18.888100000000001</v>
      </c>
      <c r="L55" s="365">
        <f t="shared" si="10"/>
        <v>19.925999999999998</v>
      </c>
      <c r="M55" s="365">
        <f t="shared" si="10"/>
        <v>20.944550000000003</v>
      </c>
      <c r="N55" s="365">
        <f t="shared" si="10"/>
        <v>22.039050000000003</v>
      </c>
      <c r="O55" s="365">
        <f t="shared" si="10"/>
        <v>22.891874999999999</v>
      </c>
      <c r="P55" s="365">
        <f t="shared" si="10"/>
        <v>23.618099999999998</v>
      </c>
      <c r="Q55" s="365">
        <f t="shared" si="10"/>
        <v>24.151574999999998</v>
      </c>
      <c r="R55" s="365">
        <f t="shared" si="10"/>
        <v>24.46425</v>
      </c>
      <c r="S55" s="365">
        <f t="shared" si="10"/>
        <v>24.7331</v>
      </c>
      <c r="T55" s="365">
        <f t="shared" si="10"/>
        <v>25</v>
      </c>
      <c r="U55" s="365">
        <f t="shared" si="10"/>
        <v>25</v>
      </c>
      <c r="V55" s="365">
        <f t="shared" si="10"/>
        <v>25</v>
      </c>
      <c r="W55" s="365">
        <f t="shared" si="10"/>
        <v>25</v>
      </c>
      <c r="X55" s="365">
        <f t="shared" si="10"/>
        <v>25</v>
      </c>
    </row>
    <row r="56" spans="1:24" s="365" customFormat="1">
      <c r="A56" s="363"/>
      <c r="B56" s="364"/>
      <c r="C56" s="365">
        <f t="shared" ref="C56:X56" si="11">C49</f>
        <v>0</v>
      </c>
      <c r="D56" s="365">
        <f t="shared" si="11"/>
        <v>19.459</v>
      </c>
      <c r="E56" s="365">
        <f t="shared" si="11"/>
        <v>19.189</v>
      </c>
      <c r="F56" s="365">
        <f t="shared" si="11"/>
        <v>18.96875</v>
      </c>
      <c r="G56" s="365">
        <f t="shared" si="11"/>
        <v>18.961549999999999</v>
      </c>
      <c r="H56" s="365">
        <f t="shared" si="11"/>
        <v>19.324200000000001</v>
      </c>
      <c r="I56" s="365">
        <f t="shared" si="11"/>
        <v>20.234000000000002</v>
      </c>
      <c r="J56" s="365">
        <f t="shared" si="11"/>
        <v>21.287849999999999</v>
      </c>
      <c r="K56" s="365">
        <f t="shared" si="11"/>
        <v>22.634500000000003</v>
      </c>
      <c r="L56" s="365">
        <f t="shared" si="11"/>
        <v>24.0246</v>
      </c>
      <c r="M56" s="365">
        <f t="shared" si="11"/>
        <v>25.612000000000002</v>
      </c>
      <c r="N56" s="365">
        <f t="shared" si="11"/>
        <v>27.065500000000004</v>
      </c>
      <c r="O56" s="365">
        <f t="shared" si="11"/>
        <v>28.09375</v>
      </c>
      <c r="P56" s="365">
        <f t="shared" si="11"/>
        <v>28.797999999999998</v>
      </c>
      <c r="Q56" s="365">
        <f t="shared" si="11"/>
        <v>29.297999999999998</v>
      </c>
      <c r="R56" s="365">
        <f t="shared" si="11"/>
        <v>29.671499999999998</v>
      </c>
      <c r="S56" s="365">
        <f t="shared" si="11"/>
        <v>29.973500000000001</v>
      </c>
      <c r="T56" s="365">
        <f t="shared" si="11"/>
        <v>30</v>
      </c>
      <c r="U56" s="365">
        <f t="shared" si="11"/>
        <v>30</v>
      </c>
      <c r="V56" s="365">
        <f t="shared" si="11"/>
        <v>30</v>
      </c>
      <c r="W56" s="365">
        <f t="shared" si="11"/>
        <v>30</v>
      </c>
      <c r="X56" s="365">
        <f t="shared" si="11"/>
        <v>30</v>
      </c>
    </row>
    <row r="57" spans="1:24" s="365" customFormat="1">
      <c r="A57" s="363"/>
      <c r="B57" s="364"/>
    </row>
    <row r="58" spans="1:24" s="365" customFormat="1">
      <c r="A58" s="363"/>
      <c r="B58" s="364"/>
      <c r="C58" s="365" t="e">
        <f ca="1">HLOOKUP(INT(H17),C54:X56,2)</f>
        <v>#VALUE!</v>
      </c>
    </row>
    <row r="59" spans="1:24" s="365" customFormat="1">
      <c r="A59" s="363"/>
      <c r="B59" s="364"/>
      <c r="C59" s="365" t="e">
        <f ca="1">HLOOKUP(INT(H17),C54:X56,3)</f>
        <v>#VALUE!</v>
      </c>
    </row>
    <row r="66" spans="1:150">
      <c r="A66" s="363" t="s">
        <v>208</v>
      </c>
      <c r="B66" s="364" t="s">
        <v>423</v>
      </c>
      <c r="C66" s="365" t="s">
        <v>424</v>
      </c>
      <c r="D66" s="365" t="s">
        <v>150</v>
      </c>
      <c r="E66" s="365" t="s">
        <v>392</v>
      </c>
      <c r="EL66" s="347"/>
      <c r="EM66" s="347"/>
      <c r="EN66" s="347"/>
      <c r="EO66" s="347"/>
      <c r="EP66" s="347"/>
      <c r="EQ66" s="347"/>
      <c r="ER66" s="347"/>
      <c r="ET66" s="347"/>
    </row>
    <row r="67" spans="1:150">
      <c r="A67" s="363"/>
      <c r="B67" s="364">
        <v>22.859500000000001</v>
      </c>
      <c r="C67" s="365">
        <v>25.302499999999998</v>
      </c>
      <c r="D67" s="365" t="e">
        <f>IF(ISBLANK(#REF!),"",#REF!)</f>
        <v>#REF!</v>
      </c>
      <c r="E67" s="365" t="e">
        <f>IF(ISBLANK(#REF!),"",#REF!)</f>
        <v>#REF!</v>
      </c>
      <c r="U67" s="347"/>
      <c r="AS67" s="347"/>
      <c r="BQ67" s="347"/>
      <c r="CO67" s="347"/>
      <c r="DM67" s="347"/>
      <c r="EK67" s="347"/>
      <c r="EL67" s="347"/>
      <c r="EM67" s="347"/>
      <c r="EN67" s="347"/>
      <c r="EO67" s="347"/>
      <c r="EP67" s="347"/>
      <c r="EQ67" s="347"/>
      <c r="ER67" s="347"/>
    </row>
    <row r="68" spans="1:150">
      <c r="A68" s="363"/>
      <c r="B68" s="364">
        <v>21.287500000000001</v>
      </c>
      <c r="C68" s="365">
        <v>23.5625</v>
      </c>
      <c r="D68" s="365" t="e">
        <f>IF(ISBLANK(#REF!),"",#REF!)</f>
        <v>#REF!</v>
      </c>
      <c r="E68" s="365" t="e">
        <f>IF(ISBLANK(#REF!),"",#REF!)</f>
        <v>#REF!</v>
      </c>
      <c r="U68" s="347"/>
      <c r="AS68" s="347"/>
      <c r="BQ68" s="347"/>
      <c r="CO68" s="347"/>
      <c r="DM68" s="347"/>
      <c r="EK68" s="347"/>
      <c r="EL68" s="347"/>
      <c r="EM68" s="347"/>
      <c r="EN68" s="347"/>
      <c r="EO68" s="347"/>
      <c r="EP68" s="347"/>
      <c r="EQ68" s="347"/>
      <c r="ER68" s="347"/>
    </row>
    <row r="69" spans="1:150">
      <c r="A69" s="363"/>
      <c r="B69" s="364">
        <v>20.5015</v>
      </c>
      <c r="C69" s="365">
        <v>22.692499999999999</v>
      </c>
      <c r="D69" s="365" t="e">
        <f>IF(ISBLANK(#REF!),"",#REF!)</f>
        <v>#REF!</v>
      </c>
      <c r="E69" s="365" t="e">
        <f>IF(ISBLANK(#REF!),"",#REF!)</f>
        <v>#REF!</v>
      </c>
      <c r="U69" s="347"/>
      <c r="AS69" s="347"/>
      <c r="BQ69" s="347"/>
      <c r="CO69" s="347"/>
      <c r="DM69" s="347"/>
      <c r="EK69" s="347"/>
      <c r="EL69" s="347"/>
      <c r="EM69" s="347"/>
      <c r="EN69" s="347"/>
      <c r="EO69" s="347"/>
      <c r="EP69" s="347"/>
      <c r="EQ69" s="347"/>
      <c r="ER69" s="347"/>
    </row>
    <row r="70" spans="1:150">
      <c r="A70" s="363"/>
      <c r="B70" s="364">
        <v>20.108500000000003</v>
      </c>
      <c r="C70" s="365">
        <v>22.2575</v>
      </c>
      <c r="D70" s="365" t="e">
        <f>IF(ISBLANK(#REF!),"",#REF!)</f>
        <v>#REF!</v>
      </c>
      <c r="E70" s="365" t="e">
        <f>IF(ISBLANK(#REF!),"",#REF!)</f>
        <v>#REF!</v>
      </c>
      <c r="U70" s="347"/>
      <c r="AS70" s="347"/>
      <c r="BQ70" s="347"/>
      <c r="CO70" s="347"/>
      <c r="DM70" s="347"/>
      <c r="EK70" s="347"/>
      <c r="EL70" s="347"/>
      <c r="EM70" s="347"/>
      <c r="EN70" s="347"/>
      <c r="EO70" s="347"/>
      <c r="EP70" s="347"/>
      <c r="EQ70" s="347"/>
      <c r="ER70" s="347"/>
    </row>
    <row r="71" spans="1:150">
      <c r="A71" s="363"/>
      <c r="B71" s="364">
        <v>19.944749999999999</v>
      </c>
      <c r="C71" s="365">
        <v>22.076250000000002</v>
      </c>
      <c r="D71" s="365" t="e">
        <f>IF(ISBLANK(#REF!),"",#REF!)</f>
        <v>#REF!</v>
      </c>
      <c r="E71" s="365" t="e">
        <f>IF(ISBLANK(#REF!),"",#REF!)</f>
        <v>#REF!</v>
      </c>
      <c r="U71" s="347"/>
      <c r="AS71" s="347"/>
      <c r="BQ71" s="347"/>
      <c r="CO71" s="347"/>
      <c r="DM71" s="347"/>
      <c r="EK71" s="347"/>
      <c r="EL71" s="347"/>
      <c r="EM71" s="347"/>
      <c r="EN71" s="347"/>
      <c r="EO71" s="347"/>
      <c r="EP71" s="347"/>
      <c r="EQ71" s="347"/>
      <c r="ER71" s="347"/>
    </row>
    <row r="72" spans="1:150">
      <c r="A72" s="363"/>
      <c r="B72" s="364">
        <v>19.911999999999999</v>
      </c>
      <c r="C72" s="365">
        <v>22.04</v>
      </c>
      <c r="D72" s="365" t="e">
        <f>IF(ISBLANK(#REF!),"",#REF!)</f>
        <v>#REF!</v>
      </c>
      <c r="E72" s="365" t="e">
        <f>IF(ISBLANK(#REF!),"",#REF!)</f>
        <v>#REF!</v>
      </c>
      <c r="U72" s="347"/>
      <c r="AS72" s="347"/>
      <c r="BQ72" s="347"/>
      <c r="CO72" s="347"/>
      <c r="DM72" s="347"/>
      <c r="EK72" s="347"/>
      <c r="EL72" s="347"/>
      <c r="EM72" s="347"/>
      <c r="EN72" s="347"/>
      <c r="EO72" s="347"/>
      <c r="EP72" s="347"/>
      <c r="EQ72" s="347"/>
      <c r="ER72" s="347"/>
    </row>
    <row r="73" spans="1:150">
      <c r="A73" s="363"/>
      <c r="B73" s="364">
        <v>20.043000000000003</v>
      </c>
      <c r="C73" s="365">
        <v>22.184999999999999</v>
      </c>
      <c r="D73" s="365" t="e">
        <f>IF(ISBLANK(#REF!),"",#REF!)</f>
        <v>#REF!</v>
      </c>
      <c r="E73" s="365" t="e">
        <f>IF(ISBLANK(#REF!),"",#REF!)</f>
        <v>#REF!</v>
      </c>
      <c r="U73" s="347"/>
      <c r="AS73" s="347"/>
      <c r="BQ73" s="347"/>
      <c r="CO73" s="347"/>
      <c r="DM73" s="347"/>
      <c r="EK73" s="347"/>
      <c r="EL73" s="347"/>
      <c r="EM73" s="347"/>
      <c r="EN73" s="347"/>
      <c r="EO73" s="347"/>
      <c r="EP73" s="347"/>
      <c r="EQ73" s="347"/>
      <c r="ER73" s="347"/>
    </row>
    <row r="74" spans="1:150">
      <c r="A74" s="363"/>
      <c r="B74" s="364">
        <v>20.305</v>
      </c>
      <c r="C74" s="365">
        <v>22.475000000000001</v>
      </c>
      <c r="D74" s="365" t="e">
        <f>IF(ISBLANK(#REF!),"",#REF!)</f>
        <v>#REF!</v>
      </c>
      <c r="E74" s="365" t="e">
        <f>IF(ISBLANK(#REF!),"",#REF!)</f>
        <v>#REF!</v>
      </c>
      <c r="U74" s="347"/>
      <c r="AS74" s="347"/>
      <c r="BQ74" s="347"/>
      <c r="CO74" s="347"/>
      <c r="DM74" s="347"/>
      <c r="EK74" s="347"/>
      <c r="EL74" s="347"/>
      <c r="EM74" s="347"/>
      <c r="EN74" s="347"/>
      <c r="EO74" s="347"/>
      <c r="EP74" s="347"/>
      <c r="EQ74" s="347"/>
      <c r="ER74" s="347"/>
    </row>
    <row r="75" spans="1:150">
      <c r="A75" s="363"/>
      <c r="B75" s="364">
        <v>20.698</v>
      </c>
      <c r="C75" s="365">
        <v>22.91</v>
      </c>
      <c r="D75" s="365" t="e">
        <f>IF(ISBLANK(#REF!),"",#REF!)</f>
        <v>#REF!</v>
      </c>
      <c r="E75" s="365" t="e">
        <f>IF(ISBLANK(#REF!),"",#REF!)</f>
        <v>#REF!</v>
      </c>
      <c r="U75" s="347"/>
      <c r="AS75" s="347"/>
      <c r="BQ75" s="347"/>
      <c r="CO75" s="347"/>
      <c r="DM75" s="347"/>
      <c r="EK75" s="347"/>
      <c r="EL75" s="347"/>
      <c r="EM75" s="347"/>
      <c r="EN75" s="347"/>
      <c r="EO75" s="347"/>
      <c r="EP75" s="347"/>
      <c r="EQ75" s="347"/>
      <c r="ER75" s="347"/>
    </row>
    <row r="76" spans="1:150">
      <c r="A76" s="363">
        <v>13.8125</v>
      </c>
      <c r="B76" s="364">
        <v>21.287500000000001</v>
      </c>
      <c r="C76" s="365">
        <v>23.5625</v>
      </c>
      <c r="D76" s="365" t="e">
        <f>IF(ISBLANK(#REF!),"",#REF!)</f>
        <v>#REF!</v>
      </c>
      <c r="E76" s="365" t="e">
        <f>IF(ISBLANK(#REF!),"",#REF!)</f>
        <v>#REF!</v>
      </c>
      <c r="U76" s="347"/>
      <c r="AS76" s="347"/>
      <c r="BQ76" s="347"/>
      <c r="CO76" s="347"/>
      <c r="DM76" s="347"/>
      <c r="EK76" s="347"/>
      <c r="EL76" s="347"/>
      <c r="EM76" s="347"/>
      <c r="EN76" s="347"/>
      <c r="EO76" s="347"/>
      <c r="EP76" s="347"/>
      <c r="EQ76" s="347"/>
      <c r="ER76" s="347"/>
    </row>
    <row r="77" spans="1:150">
      <c r="A77" s="363">
        <v>14.237500000000001</v>
      </c>
      <c r="B77" s="364">
        <v>21.942499999999999</v>
      </c>
      <c r="C77" s="365">
        <v>24.287500000000001</v>
      </c>
      <c r="D77" s="365" t="e">
        <f>IF(ISBLANK(#REF!),"",#REF!)</f>
        <v>#REF!</v>
      </c>
      <c r="E77" s="365" t="e">
        <f>IF(ISBLANK(#REF!),"",#REF!)</f>
        <v>#REF!</v>
      </c>
      <c r="U77" s="347"/>
      <c r="AS77" s="347"/>
      <c r="BQ77" s="347"/>
      <c r="CO77" s="347"/>
      <c r="DM77" s="347"/>
      <c r="EK77" s="347"/>
      <c r="EL77" s="347"/>
      <c r="EM77" s="347"/>
      <c r="EN77" s="347"/>
      <c r="EO77" s="347"/>
      <c r="EP77" s="347"/>
      <c r="EQ77" s="347"/>
      <c r="ER77" s="347"/>
    </row>
    <row r="78" spans="1:150">
      <c r="A78" s="363">
        <v>14.7475</v>
      </c>
      <c r="B78" s="364">
        <v>22.728500000000004</v>
      </c>
      <c r="C78" s="365">
        <v>25.157499999999999</v>
      </c>
      <c r="D78" s="365" t="e">
        <f>IF(ISBLANK(#REF!),"",#REF!)</f>
        <v>#REF!</v>
      </c>
      <c r="E78" s="365" t="e">
        <f>IF(ISBLANK(#REF!),"",#REF!)</f>
        <v>#REF!</v>
      </c>
      <c r="U78" s="347"/>
      <c r="AS78" s="347"/>
      <c r="BQ78" s="347"/>
      <c r="CO78" s="347"/>
      <c r="DM78" s="347"/>
      <c r="EK78" s="347"/>
      <c r="EL78" s="347"/>
      <c r="EM78" s="347"/>
      <c r="EN78" s="347"/>
      <c r="EO78" s="347"/>
      <c r="EP78" s="347"/>
      <c r="EQ78" s="347"/>
      <c r="ER78" s="347"/>
    </row>
    <row r="79" spans="1:150">
      <c r="A79" s="363">
        <v>15.23625</v>
      </c>
      <c r="B79" s="364">
        <v>23.481750000000002</v>
      </c>
      <c r="C79" s="365">
        <v>25.991250000000001</v>
      </c>
      <c r="D79" s="365" t="e">
        <f>IF(ISBLANK(#REF!),"",#REF!)</f>
        <v>#REF!</v>
      </c>
      <c r="E79" s="365" t="e">
        <f>IF(ISBLANK(#REF!),"",#REF!)</f>
        <v>#REF!</v>
      </c>
      <c r="U79" s="347"/>
      <c r="AS79" s="347"/>
      <c r="BQ79" s="347"/>
      <c r="CO79" s="347"/>
      <c r="DM79" s="347"/>
      <c r="EK79" s="347"/>
      <c r="EL79" s="347"/>
      <c r="EM79" s="347"/>
      <c r="EN79" s="347"/>
      <c r="EO79" s="347"/>
      <c r="EP79" s="347"/>
      <c r="EQ79" s="347"/>
      <c r="ER79" s="347"/>
    </row>
    <row r="80" spans="1:150">
      <c r="A80" s="363">
        <v>15.7675</v>
      </c>
      <c r="B80" s="364">
        <v>24.300500000000003</v>
      </c>
      <c r="C80" s="365">
        <v>26.897500000000001</v>
      </c>
      <c r="D80" s="365" t="e">
        <f>IF(ISBLANK(#REF!),"",#REF!)</f>
        <v>#REF!</v>
      </c>
      <c r="E80" s="365" t="e">
        <f>IF(ISBLANK(#REF!),"",#REF!)</f>
        <v>#REF!</v>
      </c>
      <c r="U80" s="347"/>
      <c r="AS80" s="347"/>
      <c r="BQ80" s="347"/>
      <c r="CO80" s="347"/>
      <c r="DM80" s="347"/>
      <c r="EK80" s="347"/>
      <c r="EL80" s="347"/>
      <c r="EM80" s="347"/>
      <c r="EN80" s="347"/>
      <c r="EO80" s="347"/>
      <c r="EP80" s="347"/>
      <c r="EQ80" s="347"/>
      <c r="ER80" s="347"/>
    </row>
    <row r="81" spans="1:148">
      <c r="A81" s="363">
        <v>16.2775</v>
      </c>
      <c r="B81" s="364">
        <v>25.086500000000001</v>
      </c>
      <c r="C81" s="365">
        <v>27.767499999999998</v>
      </c>
      <c r="D81" s="365" t="e">
        <f>IF(ISBLANK(#REF!),"",#REF!)</f>
        <v>#REF!</v>
      </c>
      <c r="E81" s="365" t="e">
        <f>IF(ISBLANK(#REF!),"",#REF!)</f>
        <v>#REF!</v>
      </c>
      <c r="U81" s="347"/>
      <c r="AS81" s="347"/>
      <c r="BQ81" s="347"/>
      <c r="CO81" s="347"/>
      <c r="DM81" s="347"/>
      <c r="EK81" s="347"/>
      <c r="EL81" s="347"/>
      <c r="EM81" s="347"/>
      <c r="EN81" s="347"/>
      <c r="EO81" s="347"/>
      <c r="EP81" s="347"/>
      <c r="EQ81" s="347"/>
      <c r="ER81" s="347"/>
    </row>
    <row r="82" spans="1:148">
      <c r="A82" s="363">
        <v>16.681249999999999</v>
      </c>
      <c r="B82" s="364">
        <v>25.708749999999998</v>
      </c>
      <c r="C82" s="365">
        <v>28.456250000000001</v>
      </c>
      <c r="D82" s="365" t="e">
        <f>IF(ISBLANK(#REF!),"",#REF!)</f>
        <v>#REF!</v>
      </c>
      <c r="E82" s="365" t="e">
        <f>IF(ISBLANK(#REF!),"",#REF!)</f>
        <v>#REF!</v>
      </c>
      <c r="U82" s="347"/>
      <c r="AS82" s="347"/>
      <c r="BQ82" s="347"/>
      <c r="CO82" s="347"/>
      <c r="DM82" s="347"/>
      <c r="EK82" s="347"/>
      <c r="EL82" s="347"/>
      <c r="EM82" s="347"/>
      <c r="EN82" s="347"/>
      <c r="EO82" s="347"/>
      <c r="EP82" s="347"/>
      <c r="EQ82" s="347"/>
      <c r="ER82" s="347"/>
    </row>
    <row r="83" spans="1:148">
      <c r="A83" s="363">
        <v>16.914999999999999</v>
      </c>
      <c r="B83" s="364">
        <v>26.068999999999999</v>
      </c>
      <c r="C83" s="365">
        <v>28.855</v>
      </c>
      <c r="D83" s="365" t="e">
        <f>IF(ISBLANK(#REF!),"",#REF!)</f>
        <v>#REF!</v>
      </c>
      <c r="E83" s="365" t="e">
        <f>IF(ISBLANK(#REF!),"",#REF!)</f>
        <v>#REF!</v>
      </c>
      <c r="U83" s="347"/>
      <c r="AS83" s="347"/>
      <c r="BQ83" s="347"/>
      <c r="CO83" s="347"/>
      <c r="DM83" s="347"/>
      <c r="EK83" s="347"/>
      <c r="EL83" s="347"/>
      <c r="EM83" s="347"/>
      <c r="EN83" s="347"/>
      <c r="EO83" s="347"/>
      <c r="EP83" s="347"/>
      <c r="EQ83" s="347"/>
      <c r="ER83" s="347"/>
    </row>
    <row r="84" spans="1:148">
      <c r="A84" s="363">
        <v>17.106249999999999</v>
      </c>
      <c r="B84" s="364">
        <v>26.36375</v>
      </c>
      <c r="C84" s="365">
        <v>29.181249999999999</v>
      </c>
      <c r="D84" s="365" t="e">
        <f>IF(ISBLANK(#REF!),"",#REF!)</f>
        <v>#REF!</v>
      </c>
      <c r="E84" s="365" t="e">
        <f>IF(ISBLANK(#REF!),"",#REF!)</f>
        <v>#REF!</v>
      </c>
      <c r="U84" s="347"/>
      <c r="AS84" s="347"/>
      <c r="BQ84" s="347"/>
      <c r="CO84" s="347"/>
      <c r="DM84" s="347"/>
      <c r="EK84" s="347"/>
      <c r="EL84" s="347"/>
      <c r="EM84" s="347"/>
      <c r="EN84" s="347"/>
      <c r="EO84" s="347"/>
      <c r="EP84" s="347"/>
      <c r="EQ84" s="347"/>
      <c r="ER84" s="347"/>
    </row>
    <row r="85" spans="1:148">
      <c r="A85" s="363">
        <v>17.276250000000001</v>
      </c>
      <c r="B85" s="364">
        <v>26.625750000000004</v>
      </c>
      <c r="C85" s="365">
        <v>29.471250000000001</v>
      </c>
      <c r="D85" s="365" t="e">
        <f>IF(ISBLANK(#REF!),"",#REF!)</f>
        <v>#REF!</v>
      </c>
      <c r="E85" s="365" t="e">
        <f>IF(ISBLANK(#REF!),"",#REF!)</f>
        <v>#REF!</v>
      </c>
      <c r="U85" s="347"/>
      <c r="AS85" s="347"/>
      <c r="BQ85" s="347"/>
      <c r="CO85" s="347"/>
      <c r="DM85" s="347"/>
      <c r="EK85" s="347"/>
      <c r="EL85" s="347"/>
      <c r="EM85" s="347"/>
      <c r="EN85" s="347"/>
      <c r="EO85" s="347"/>
      <c r="EP85" s="347"/>
      <c r="EQ85" s="347"/>
      <c r="ER85" s="347"/>
    </row>
    <row r="86" spans="1:148">
      <c r="A86" s="363">
        <v>17.3825</v>
      </c>
      <c r="B86" s="364">
        <v>26.7895</v>
      </c>
      <c r="C86" s="365">
        <v>29.6525</v>
      </c>
      <c r="D86" s="365" t="e">
        <f>IF(ISBLANK(#REF!),"",#REF!)</f>
        <v>#REF!</v>
      </c>
      <c r="E86" s="365" t="e">
        <f>IF(ISBLANK(#REF!),"",#REF!)</f>
        <v>#REF!</v>
      </c>
      <c r="U86" s="347"/>
      <c r="AS86" s="347"/>
      <c r="BQ86" s="347"/>
      <c r="CO86" s="347"/>
      <c r="DM86" s="347"/>
      <c r="EK86" s="347"/>
      <c r="EL86" s="347"/>
      <c r="EM86" s="347"/>
      <c r="EN86" s="347"/>
      <c r="EO86" s="347"/>
      <c r="EP86" s="347"/>
      <c r="EQ86" s="347"/>
      <c r="ER86" s="347"/>
    </row>
    <row r="87" spans="1:148">
      <c r="A87" s="363">
        <v>17.446249999999999</v>
      </c>
      <c r="B87" s="364">
        <v>26.88775</v>
      </c>
      <c r="C87" s="365">
        <v>29.76125</v>
      </c>
      <c r="D87" s="365" t="e">
        <f>IF(ISBLANK(#REF!),"",#REF!)</f>
        <v>#REF!</v>
      </c>
      <c r="E87" s="365" t="e">
        <f>IF(ISBLANK(#REF!),"",#REF!)</f>
        <v>#REF!</v>
      </c>
      <c r="U87" s="347"/>
      <c r="AS87" s="347"/>
      <c r="BQ87" s="347"/>
      <c r="CO87" s="347"/>
      <c r="DM87" s="347"/>
      <c r="EK87" s="347"/>
      <c r="EL87" s="347"/>
      <c r="EM87" s="347"/>
      <c r="EN87" s="347"/>
      <c r="EO87" s="347"/>
      <c r="EP87" s="347"/>
      <c r="EQ87" s="347"/>
      <c r="ER87" s="347"/>
    </row>
    <row r="88" spans="1:148">
      <c r="A88" s="363">
        <v>17.510000000000002</v>
      </c>
      <c r="B88" s="364">
        <v>26.986000000000004</v>
      </c>
      <c r="C88" s="365">
        <v>29.87</v>
      </c>
      <c r="D88" s="365" t="e">
        <f>IF(ISBLANK(#REF!),"",#REF!)</f>
        <v>#REF!</v>
      </c>
      <c r="E88" s="365" t="e">
        <f>IF(ISBLANK(#REF!),"",#REF!)</f>
        <v>#REF!</v>
      </c>
      <c r="U88" s="347"/>
      <c r="AS88" s="347"/>
      <c r="BQ88" s="347"/>
      <c r="CO88" s="347"/>
      <c r="DM88" s="347"/>
      <c r="EK88" s="347"/>
      <c r="EL88" s="347"/>
      <c r="EM88" s="347"/>
      <c r="EN88" s="347"/>
      <c r="EO88" s="347"/>
      <c r="EP88" s="347"/>
      <c r="EQ88" s="347"/>
      <c r="ER88" s="347"/>
    </row>
    <row r="89" spans="1:148">
      <c r="A89" s="363"/>
      <c r="B89" s="364"/>
      <c r="C89" s="365"/>
      <c r="D89" s="365" t="e">
        <f>IF(ISBLANK(#REF!),"",#REF!)</f>
        <v>#REF!</v>
      </c>
      <c r="E89" s="365" t="e">
        <f>IF(ISBLANK(#REF!),"",#REF!)</f>
        <v>#REF!</v>
      </c>
      <c r="U89" s="347"/>
      <c r="AS89" s="347"/>
      <c r="BQ89" s="347"/>
      <c r="CO89" s="347"/>
      <c r="DM89" s="347"/>
      <c r="EK89" s="347"/>
      <c r="EL89" s="347"/>
      <c r="EM89" s="347"/>
      <c r="EN89" s="347"/>
      <c r="EO89" s="347"/>
      <c r="EP89" s="347"/>
      <c r="EQ89" s="347"/>
      <c r="ER89" s="347"/>
    </row>
    <row r="90" spans="1:148">
      <c r="A90" s="363"/>
      <c r="B90" s="364"/>
      <c r="C90" s="365"/>
      <c r="D90" s="365" t="e">
        <f>IF(ISBLANK(#REF!),"",#REF!)</f>
        <v>#REF!</v>
      </c>
      <c r="E90" s="365" t="e">
        <f>IF(ISBLANK(#REF!),"",#REF!)</f>
        <v>#REF!</v>
      </c>
      <c r="U90" s="347"/>
      <c r="AS90" s="347"/>
      <c r="BQ90" s="347"/>
      <c r="CO90" s="347"/>
      <c r="DM90" s="347"/>
      <c r="EK90" s="347"/>
      <c r="EL90" s="347"/>
      <c r="EM90" s="347"/>
      <c r="EN90" s="347"/>
      <c r="EO90" s="347"/>
      <c r="EP90" s="347"/>
      <c r="EQ90" s="347"/>
      <c r="ER90" s="347"/>
    </row>
    <row r="91" spans="1:148">
      <c r="A91" s="363"/>
      <c r="B91" s="364"/>
      <c r="C91" s="365"/>
      <c r="D91" s="365" t="e">
        <f>IF(ISBLANK(#REF!),"",#REF!)</f>
        <v>#REF!</v>
      </c>
      <c r="E91" s="365" t="e">
        <f>IF(ISBLANK(#REF!),"",#REF!)</f>
        <v>#REF!</v>
      </c>
      <c r="U91" s="347"/>
      <c r="AS91" s="347"/>
      <c r="BQ91" s="347"/>
      <c r="CO91" s="347"/>
      <c r="DM91" s="347"/>
      <c r="EK91" s="347"/>
      <c r="EL91" s="347"/>
      <c r="EM91" s="347"/>
      <c r="EN91" s="347"/>
      <c r="EO91" s="347"/>
      <c r="EP91" s="347"/>
      <c r="EQ91" s="347"/>
      <c r="ER91" s="347"/>
    </row>
    <row r="92" spans="1:148">
      <c r="A92" s="363"/>
      <c r="B92" s="364"/>
      <c r="C92" s="365"/>
      <c r="D92" s="365" t="e">
        <f>IF(ISBLANK(#REF!),"",#REF!)</f>
        <v>#REF!</v>
      </c>
      <c r="E92" s="365" t="e">
        <f>IF(ISBLANK(#REF!),"",#REF!)</f>
        <v>#REF!</v>
      </c>
      <c r="U92" s="347"/>
      <c r="AS92" s="347"/>
      <c r="BQ92" s="347"/>
      <c r="CO92" s="347"/>
      <c r="DM92" s="347"/>
      <c r="EK92" s="347"/>
      <c r="EL92" s="347"/>
      <c r="EM92" s="347"/>
      <c r="EN92" s="347"/>
      <c r="EO92" s="347"/>
      <c r="EP92" s="347"/>
      <c r="EQ92" s="347"/>
      <c r="ER92" s="347"/>
    </row>
    <row r="93" spans="1:148">
      <c r="A93" s="363"/>
      <c r="B93" s="364"/>
      <c r="C93" s="365"/>
      <c r="D93" s="365" t="e">
        <f>IF(ISBLANK(#REF!),"",#REF!)</f>
        <v>#REF!</v>
      </c>
      <c r="E93" s="365" t="e">
        <f>IF(ISBLANK(#REF!),"",#REF!)</f>
        <v>#REF!</v>
      </c>
      <c r="U93" s="347"/>
      <c r="AS93" s="347"/>
      <c r="BQ93" s="347"/>
      <c r="CO93" s="347"/>
      <c r="DM93" s="347"/>
      <c r="EK93" s="347"/>
      <c r="EL93" s="347"/>
      <c r="EM93" s="347"/>
      <c r="EN93" s="347"/>
      <c r="EO93" s="347"/>
      <c r="EP93" s="347"/>
      <c r="EQ93" s="347"/>
      <c r="ER93" s="347"/>
    </row>
    <row r="94" spans="1:148">
      <c r="A94" s="363"/>
      <c r="B94" s="364"/>
      <c r="C94" s="365"/>
      <c r="D94" s="365" t="e">
        <f>IF(ISBLANK(#REF!),"",#REF!)</f>
        <v>#REF!</v>
      </c>
      <c r="E94" s="365" t="e">
        <f>IF(ISBLANK(#REF!),"",#REF!)</f>
        <v>#REF!</v>
      </c>
      <c r="U94" s="347"/>
      <c r="AS94" s="347"/>
      <c r="BQ94" s="347"/>
      <c r="CO94" s="347"/>
      <c r="DM94" s="347"/>
      <c r="EK94" s="347"/>
      <c r="EL94" s="347"/>
      <c r="EM94" s="347"/>
      <c r="EN94" s="347"/>
      <c r="EO94" s="347"/>
      <c r="EP94" s="347"/>
      <c r="EQ94" s="347"/>
      <c r="ER94" s="347"/>
    </row>
    <row r="95" spans="1:148">
      <c r="A95" s="363"/>
      <c r="B95" s="364"/>
      <c r="C95" s="365"/>
      <c r="D95" s="365" t="e">
        <f>IF(ISBLANK(#REF!),"",#REF!)</f>
        <v>#REF!</v>
      </c>
      <c r="E95" s="365" t="e">
        <f>IF(ISBLANK(#REF!),"",#REF!)</f>
        <v>#REF!</v>
      </c>
      <c r="U95" s="347"/>
      <c r="AS95" s="347"/>
      <c r="BQ95" s="347"/>
      <c r="CO95" s="347"/>
      <c r="DM95" s="347"/>
      <c r="EK95" s="347"/>
      <c r="EL95" s="347"/>
      <c r="EM95" s="347"/>
      <c r="EN95" s="347"/>
      <c r="EO95" s="347"/>
      <c r="EP95" s="347"/>
      <c r="EQ95" s="347"/>
      <c r="ER95" s="347"/>
    </row>
    <row r="96" spans="1:148">
      <c r="A96" s="363"/>
      <c r="B96" s="364"/>
      <c r="C96" s="365"/>
      <c r="D96" s="365" t="e">
        <f>IF(ISBLANK(#REF!),"",#REF!)</f>
        <v>#REF!</v>
      </c>
      <c r="E96" s="365" t="e">
        <f>IF(ISBLANK(#REF!),"",#REF!)</f>
        <v>#REF!</v>
      </c>
      <c r="U96" s="347"/>
      <c r="AS96" s="347"/>
      <c r="BQ96" s="347"/>
      <c r="CO96" s="347"/>
      <c r="DM96" s="347"/>
      <c r="EK96" s="347"/>
      <c r="EL96" s="347"/>
      <c r="EM96" s="347"/>
      <c r="EN96" s="347"/>
      <c r="EO96" s="347"/>
      <c r="EP96" s="347"/>
      <c r="EQ96" s="347"/>
      <c r="ER96" s="347"/>
    </row>
    <row r="97" spans="1:148">
      <c r="A97" s="363"/>
      <c r="B97" s="364"/>
      <c r="C97" s="365"/>
      <c r="D97" s="365" t="e">
        <f>IF(ISBLANK(#REF!),"",#REF!)</f>
        <v>#REF!</v>
      </c>
      <c r="E97" s="365" t="e">
        <f>IF(ISBLANK(#REF!),"",#REF!)</f>
        <v>#REF!</v>
      </c>
      <c r="U97" s="347"/>
      <c r="AS97" s="347"/>
      <c r="BQ97" s="347"/>
      <c r="CO97" s="347"/>
      <c r="DM97" s="347"/>
      <c r="EK97" s="347"/>
      <c r="EL97" s="347"/>
      <c r="EM97" s="347"/>
      <c r="EN97" s="347"/>
      <c r="EO97" s="347"/>
      <c r="EP97" s="347"/>
      <c r="EQ97" s="347"/>
      <c r="ER97" s="347"/>
    </row>
    <row r="98" spans="1:148">
      <c r="A98" s="363"/>
      <c r="B98" s="364"/>
      <c r="C98" s="365"/>
      <c r="D98" s="365" t="e">
        <f>IF(ISBLANK(#REF!),"",#REF!)</f>
        <v>#REF!</v>
      </c>
      <c r="E98" s="365" t="e">
        <f>IF(ISBLANK(#REF!),"",#REF!)</f>
        <v>#REF!</v>
      </c>
      <c r="U98" s="347"/>
      <c r="AS98" s="347"/>
      <c r="BQ98" s="347"/>
      <c r="CO98" s="347"/>
      <c r="DM98" s="347"/>
      <c r="EK98" s="347"/>
      <c r="EL98" s="347"/>
      <c r="EM98" s="347"/>
      <c r="EN98" s="347"/>
      <c r="EO98" s="347"/>
      <c r="EP98" s="347"/>
      <c r="EQ98" s="347"/>
      <c r="ER98" s="347"/>
    </row>
    <row r="99" spans="1:148">
      <c r="A99" s="363"/>
      <c r="B99" s="364"/>
      <c r="C99" s="365"/>
      <c r="D99" s="365" t="e">
        <f>IF(ISBLANK(#REF!),"",#REF!)</f>
        <v>#REF!</v>
      </c>
      <c r="E99" s="365" t="e">
        <f>IF(ISBLANK(#REF!),"",#REF!)</f>
        <v>#REF!</v>
      </c>
      <c r="U99" s="347"/>
      <c r="AS99" s="347"/>
      <c r="BQ99" s="347"/>
      <c r="CO99" s="347"/>
      <c r="DM99" s="347"/>
      <c r="EK99" s="347"/>
      <c r="EL99" s="347"/>
      <c r="EM99" s="347"/>
      <c r="EN99" s="347"/>
      <c r="EO99" s="347"/>
      <c r="EP99" s="347"/>
      <c r="EQ99" s="347"/>
      <c r="ER99" s="347"/>
    </row>
    <row r="100" spans="1:148">
      <c r="A100" s="363"/>
      <c r="B100" s="364"/>
      <c r="C100" s="365"/>
      <c r="D100" s="365" t="e">
        <f>IF(ISBLANK(#REF!),"",#REF!)</f>
        <v>#REF!</v>
      </c>
      <c r="E100" s="365" t="e">
        <f>IF(ISBLANK(#REF!),"",#REF!)</f>
        <v>#REF!</v>
      </c>
      <c r="U100" s="347"/>
      <c r="AS100" s="347"/>
      <c r="BQ100" s="347"/>
      <c r="CO100" s="347"/>
      <c r="DM100" s="347"/>
      <c r="EK100" s="347"/>
      <c r="EL100" s="347"/>
      <c r="EM100" s="347"/>
      <c r="EN100" s="347"/>
      <c r="EO100" s="347"/>
      <c r="EP100" s="347"/>
      <c r="EQ100" s="347"/>
      <c r="ER100" s="347"/>
    </row>
    <row r="101" spans="1:148">
      <c r="A101" s="363"/>
      <c r="B101" s="364"/>
      <c r="C101" s="365"/>
      <c r="D101" s="365" t="e">
        <f>IF(ISBLANK(#REF!),"",#REF!)</f>
        <v>#REF!</v>
      </c>
      <c r="E101" s="365" t="e">
        <f>IF(ISBLANK(#REF!),"",#REF!)</f>
        <v>#REF!</v>
      </c>
      <c r="U101" s="347"/>
      <c r="AS101" s="347"/>
      <c r="BQ101" s="347"/>
      <c r="CO101" s="347"/>
      <c r="DM101" s="347"/>
      <c r="EK101" s="347"/>
      <c r="EL101" s="347"/>
      <c r="EM101" s="347"/>
      <c r="EN101" s="347"/>
      <c r="EO101" s="347"/>
      <c r="EP101" s="347"/>
      <c r="EQ101" s="347"/>
      <c r="ER101" s="347"/>
    </row>
    <row r="102" spans="1:148">
      <c r="A102" s="363"/>
      <c r="B102" s="364"/>
      <c r="C102" s="365"/>
      <c r="D102" s="365" t="e">
        <f>IF(ISBLANK(#REF!),"",#REF!)</f>
        <v>#REF!</v>
      </c>
      <c r="E102" s="365" t="e">
        <f>IF(ISBLANK(#REF!),"",#REF!)</f>
        <v>#REF!</v>
      </c>
      <c r="U102" s="347"/>
      <c r="AS102" s="347"/>
      <c r="BQ102" s="347"/>
      <c r="CO102" s="347"/>
      <c r="DM102" s="347"/>
      <c r="EK102" s="347"/>
      <c r="EL102" s="347"/>
      <c r="EM102" s="347"/>
      <c r="EN102" s="347"/>
      <c r="EO102" s="347"/>
      <c r="EP102" s="347"/>
      <c r="EQ102" s="347"/>
      <c r="ER102" s="347"/>
    </row>
    <row r="103" spans="1:148">
      <c r="A103" s="363"/>
      <c r="B103" s="364"/>
      <c r="C103" s="365"/>
      <c r="D103" s="365" t="e">
        <f>IF(ISBLANK(#REF!),"",#REF!)</f>
        <v>#REF!</v>
      </c>
      <c r="E103" s="365" t="e">
        <f>IF(ISBLANK(#REF!),"",#REF!)</f>
        <v>#REF!</v>
      </c>
      <c r="U103" s="347"/>
      <c r="AS103" s="347"/>
      <c r="BQ103" s="347"/>
      <c r="CO103" s="347"/>
      <c r="DM103" s="347"/>
      <c r="EK103" s="347"/>
      <c r="EL103" s="347"/>
      <c r="EM103" s="347"/>
      <c r="EN103" s="347"/>
      <c r="EO103" s="347"/>
      <c r="EP103" s="347"/>
      <c r="EQ103" s="347"/>
      <c r="ER103" s="347"/>
    </row>
    <row r="104" spans="1:148">
      <c r="A104" s="363"/>
      <c r="B104" s="364"/>
      <c r="C104" s="365"/>
      <c r="D104" s="365" t="e">
        <f>IF(ISBLANK(#REF!),"",#REF!)</f>
        <v>#REF!</v>
      </c>
      <c r="E104" s="365" t="e">
        <f>IF(ISBLANK(#REF!),"",#REF!)</f>
        <v>#REF!</v>
      </c>
      <c r="U104" s="347"/>
      <c r="AS104" s="347"/>
      <c r="BQ104" s="347"/>
      <c r="CO104" s="347"/>
      <c r="DM104" s="347"/>
      <c r="EK104" s="347"/>
      <c r="EL104" s="347"/>
      <c r="EM104" s="347"/>
      <c r="EN104" s="347"/>
      <c r="EO104" s="347"/>
      <c r="EP104" s="347"/>
      <c r="EQ104" s="347"/>
      <c r="ER104" s="347"/>
    </row>
    <row r="105" spans="1:148">
      <c r="A105" s="363"/>
      <c r="B105" s="364"/>
      <c r="C105" s="365"/>
      <c r="D105" s="365" t="e">
        <f>IF(ISBLANK(#REF!),"",#REF!)</f>
        <v>#REF!</v>
      </c>
      <c r="E105" s="365" t="e">
        <f>IF(ISBLANK(#REF!),"",#REF!)</f>
        <v>#REF!</v>
      </c>
      <c r="U105" s="347"/>
      <c r="AS105" s="347"/>
      <c r="BQ105" s="347"/>
      <c r="CO105" s="347"/>
      <c r="DM105" s="347"/>
      <c r="EK105" s="347"/>
      <c r="EL105" s="347"/>
      <c r="EM105" s="347"/>
      <c r="EN105" s="347"/>
      <c r="EO105" s="347"/>
      <c r="EP105" s="347"/>
      <c r="EQ105" s="347"/>
      <c r="ER105" s="347"/>
    </row>
    <row r="106" spans="1:148">
      <c r="A106" s="363"/>
      <c r="B106" s="364"/>
      <c r="C106" s="365"/>
      <c r="D106" s="365" t="e">
        <f>IF(ISBLANK(#REF!),"",#REF!)</f>
        <v>#REF!</v>
      </c>
      <c r="E106" s="365" t="e">
        <f>IF(ISBLANK(#REF!),"",#REF!)</f>
        <v>#REF!</v>
      </c>
      <c r="U106" s="347"/>
      <c r="AS106" s="347"/>
      <c r="BQ106" s="347"/>
      <c r="CO106" s="347"/>
      <c r="DM106" s="347"/>
      <c r="EK106" s="347"/>
      <c r="EL106" s="347"/>
      <c r="EM106" s="347"/>
      <c r="EN106" s="347"/>
      <c r="EO106" s="347"/>
      <c r="EP106" s="347"/>
      <c r="EQ106" s="347"/>
      <c r="ER106" s="347"/>
    </row>
    <row r="107" spans="1:148">
      <c r="A107" s="363"/>
      <c r="B107" s="364"/>
      <c r="C107" s="365"/>
      <c r="D107" s="365" t="e">
        <f>IF(ISBLANK(#REF!),"",#REF!)</f>
        <v>#REF!</v>
      </c>
      <c r="E107" s="365" t="e">
        <f>IF(ISBLANK(#REF!),"",#REF!)</f>
        <v>#REF!</v>
      </c>
      <c r="U107" s="347"/>
      <c r="AS107" s="347"/>
      <c r="EL107" s="347"/>
      <c r="EM107" s="347"/>
      <c r="EN107" s="347"/>
      <c r="EO107" s="347"/>
      <c r="EP107" s="347"/>
      <c r="EQ107" s="347"/>
      <c r="ER107" s="347"/>
    </row>
    <row r="108" spans="1:148">
      <c r="A108" s="363"/>
      <c r="B108" s="364"/>
      <c r="C108" s="365"/>
      <c r="D108" s="365" t="e">
        <f>IF(ISBLANK(#REF!),"",#REF!)</f>
        <v>#REF!</v>
      </c>
      <c r="E108" s="365" t="e">
        <f>IF(ISBLANK(#REF!),"",#REF!)</f>
        <v>#REF!</v>
      </c>
      <c r="U108" s="347"/>
      <c r="AS108" s="347"/>
      <c r="EL108" s="347"/>
      <c r="EM108" s="347"/>
      <c r="EN108" s="347"/>
      <c r="EO108" s="347"/>
      <c r="EP108" s="347"/>
      <c r="EQ108" s="347"/>
      <c r="ER108" s="347"/>
    </row>
    <row r="109" spans="1:148">
      <c r="A109" s="363"/>
      <c r="B109" s="364"/>
      <c r="C109" s="365"/>
      <c r="D109" s="365" t="e">
        <f>IF(ISBLANK(#REF!),"",#REF!)</f>
        <v>#REF!</v>
      </c>
      <c r="E109" s="365" t="e">
        <f>IF(ISBLANK(#REF!),"",#REF!)</f>
        <v>#REF!</v>
      </c>
      <c r="U109" s="347"/>
      <c r="AS109" s="347"/>
      <c r="EL109" s="347"/>
      <c r="EM109" s="347"/>
      <c r="EN109" s="347"/>
      <c r="EO109" s="347"/>
      <c r="EP109" s="347"/>
      <c r="EQ109" s="347"/>
      <c r="ER109" s="347"/>
    </row>
    <row r="110" spans="1:148">
      <c r="A110" s="363"/>
      <c r="B110" s="364"/>
      <c r="C110" s="365"/>
      <c r="D110" s="365" t="e">
        <f>IF(ISBLANK(#REF!),"",#REF!)</f>
        <v>#REF!</v>
      </c>
      <c r="E110" s="365" t="e">
        <f>IF(ISBLANK(#REF!),"",#REF!)</f>
        <v>#REF!</v>
      </c>
      <c r="U110" s="347"/>
      <c r="AS110" s="347"/>
      <c r="EL110" s="347"/>
      <c r="EM110" s="347"/>
      <c r="EN110" s="347"/>
      <c r="EO110" s="347"/>
      <c r="EP110" s="347"/>
      <c r="EQ110" s="347"/>
      <c r="ER110" s="347"/>
    </row>
    <row r="111" spans="1:148">
      <c r="A111" s="363"/>
      <c r="B111" s="364"/>
      <c r="C111" s="365"/>
      <c r="D111" s="365" t="e">
        <f>IF(ISBLANK(#REF!),"",#REF!)</f>
        <v>#REF!</v>
      </c>
      <c r="E111" s="365" t="e">
        <f>IF(ISBLANK(#REF!),"",#REF!)</f>
        <v>#REF!</v>
      </c>
      <c r="U111" s="347"/>
      <c r="AS111" s="347"/>
      <c r="EL111" s="347"/>
      <c r="EM111" s="347"/>
      <c r="EN111" s="347"/>
      <c r="EO111" s="347"/>
      <c r="EP111" s="347"/>
      <c r="EQ111" s="347"/>
      <c r="ER111" s="347"/>
    </row>
    <row r="112" spans="1:148">
      <c r="A112" s="363"/>
      <c r="B112" s="364"/>
      <c r="C112" s="365"/>
      <c r="D112" s="365" t="e">
        <f>IF(ISBLANK(#REF!),"",#REF!)</f>
        <v>#REF!</v>
      </c>
      <c r="E112" s="365" t="e">
        <f>IF(ISBLANK(#REF!),"",#REF!)</f>
        <v>#REF!</v>
      </c>
      <c r="U112" s="347"/>
      <c r="AS112" s="347"/>
      <c r="EL112" s="347"/>
      <c r="EM112" s="347"/>
      <c r="EN112" s="347"/>
      <c r="EO112" s="347"/>
      <c r="EP112" s="347"/>
      <c r="EQ112" s="347"/>
      <c r="ER112" s="347"/>
    </row>
    <row r="113" spans="1:148">
      <c r="A113" s="363"/>
      <c r="B113" s="364"/>
      <c r="C113" s="365"/>
      <c r="D113" s="365" t="e">
        <f>IF(ISBLANK(#REF!),"",#REF!)</f>
        <v>#REF!</v>
      </c>
      <c r="E113" s="365" t="e">
        <f>IF(ISBLANK(#REF!),"",#REF!)</f>
        <v>#REF!</v>
      </c>
      <c r="U113" s="347"/>
      <c r="AS113" s="347"/>
      <c r="EL113" s="347"/>
      <c r="EM113" s="347"/>
      <c r="EN113" s="347"/>
      <c r="EO113" s="347"/>
      <c r="EP113" s="347"/>
      <c r="EQ113" s="347"/>
      <c r="ER113" s="347"/>
    </row>
    <row r="114" spans="1:148">
      <c r="A114" s="363"/>
      <c r="B114" s="364"/>
      <c r="C114" s="365"/>
      <c r="D114" s="365" t="e">
        <f>IF(ISBLANK(#REF!),"",#REF!)</f>
        <v>#REF!</v>
      </c>
      <c r="E114" s="365" t="e">
        <f>IF(ISBLANK(#REF!),"",#REF!)</f>
        <v>#REF!</v>
      </c>
      <c r="U114" s="347"/>
      <c r="AS114" s="347"/>
      <c r="EL114" s="347"/>
      <c r="EM114" s="347"/>
      <c r="EN114" s="347"/>
      <c r="EO114" s="347"/>
      <c r="EP114" s="347"/>
      <c r="EQ114" s="347"/>
      <c r="ER114" s="347"/>
    </row>
    <row r="115" spans="1:148">
      <c r="A115" s="363"/>
      <c r="B115" s="364"/>
      <c r="C115" s="365"/>
      <c r="D115" s="365" t="e">
        <f>IF(ISBLANK(#REF!),"",#REF!)</f>
        <v>#REF!</v>
      </c>
      <c r="E115" s="365" t="e">
        <f>IF(ISBLANK(#REF!),"",#REF!)</f>
        <v>#REF!</v>
      </c>
      <c r="U115" s="347"/>
      <c r="AS115" s="347"/>
      <c r="EL115" s="347"/>
      <c r="EM115" s="347"/>
      <c r="EN115" s="347"/>
      <c r="EO115" s="347"/>
      <c r="EP115" s="347"/>
      <c r="EQ115" s="347"/>
      <c r="ER115" s="347"/>
    </row>
    <row r="116" spans="1:148">
      <c r="A116" s="363"/>
      <c r="B116" s="364"/>
      <c r="C116" s="365"/>
      <c r="D116" s="365" t="e">
        <f>IF(ISBLANK(#REF!),"",#REF!)</f>
        <v>#REF!</v>
      </c>
      <c r="E116" s="365" t="e">
        <f>IF(ISBLANK(#REF!),"",#REF!)</f>
        <v>#REF!</v>
      </c>
      <c r="U116" s="347"/>
      <c r="AS116" s="347"/>
      <c r="EL116" s="347"/>
      <c r="EM116" s="347"/>
      <c r="EN116" s="347"/>
      <c r="EO116" s="347"/>
      <c r="EP116" s="347"/>
      <c r="EQ116" s="347"/>
      <c r="ER116" s="347"/>
    </row>
    <row r="117" spans="1:148">
      <c r="A117" s="363"/>
      <c r="B117" s="364"/>
      <c r="C117" s="365"/>
      <c r="D117" s="365" t="e">
        <f>IF(ISBLANK(#REF!),"",#REF!)</f>
        <v>#REF!</v>
      </c>
      <c r="E117" s="365" t="e">
        <f>IF(ISBLANK(#REF!),"",#REF!)</f>
        <v>#REF!</v>
      </c>
      <c r="U117" s="347"/>
      <c r="AS117" s="347"/>
      <c r="EL117" s="347"/>
      <c r="EM117" s="347"/>
      <c r="EN117" s="347"/>
      <c r="EO117" s="347"/>
      <c r="EP117" s="347"/>
      <c r="EQ117" s="347"/>
      <c r="ER117" s="347"/>
    </row>
    <row r="118" spans="1:148">
      <c r="A118" s="363"/>
      <c r="B118" s="364"/>
      <c r="C118" s="365"/>
      <c r="D118" s="365" t="e">
        <f>IF(ISBLANK(#REF!),"",#REF!)</f>
        <v>#REF!</v>
      </c>
      <c r="E118" s="365" t="e">
        <f>IF(ISBLANK(#REF!),"",#REF!)</f>
        <v>#REF!</v>
      </c>
      <c r="U118" s="347"/>
      <c r="AS118" s="347"/>
      <c r="EL118" s="347"/>
      <c r="EM118" s="347"/>
      <c r="EN118" s="347"/>
      <c r="EO118" s="347"/>
      <c r="EP118" s="347"/>
      <c r="EQ118" s="347"/>
      <c r="ER118" s="347"/>
    </row>
    <row r="119" spans="1:148">
      <c r="A119" s="363"/>
      <c r="B119" s="364"/>
      <c r="C119" s="365"/>
      <c r="D119" s="365" t="e">
        <f>IF(ISBLANK(#REF!),"",#REF!)</f>
        <v>#REF!</v>
      </c>
      <c r="E119" s="365" t="e">
        <f>IF(ISBLANK(#REF!),"",#REF!)</f>
        <v>#REF!</v>
      </c>
      <c r="U119" s="347"/>
      <c r="AS119" s="347"/>
      <c r="EL119" s="347"/>
      <c r="EM119" s="347"/>
      <c r="EN119" s="347"/>
      <c r="EO119" s="347"/>
      <c r="EP119" s="347"/>
      <c r="EQ119" s="347"/>
      <c r="ER119" s="347"/>
    </row>
    <row r="120" spans="1:148">
      <c r="A120" s="363"/>
      <c r="B120" s="364"/>
      <c r="C120" s="365"/>
      <c r="D120" s="365" t="e">
        <f>IF(ISBLANK(#REF!),"",#REF!)</f>
        <v>#REF!</v>
      </c>
      <c r="E120" s="365" t="e">
        <f>IF(ISBLANK(#REF!),"",#REF!)</f>
        <v>#REF!</v>
      </c>
      <c r="U120" s="347"/>
      <c r="AS120" s="347"/>
      <c r="EL120" s="347"/>
      <c r="EM120" s="347"/>
      <c r="EN120" s="347"/>
      <c r="EO120" s="347"/>
      <c r="EP120" s="347"/>
      <c r="EQ120" s="347"/>
      <c r="ER120" s="347"/>
    </row>
    <row r="121" spans="1:148">
      <c r="A121" s="363"/>
      <c r="B121" s="364"/>
      <c r="C121" s="365"/>
      <c r="D121" s="365" t="e">
        <f>IF(ISBLANK(#REF!),"",#REF!)</f>
        <v>#REF!</v>
      </c>
      <c r="E121" s="365" t="e">
        <f>IF(ISBLANK(#REF!),"",#REF!)</f>
        <v>#REF!</v>
      </c>
      <c r="U121" s="347"/>
      <c r="AS121" s="347"/>
      <c r="EL121" s="347"/>
      <c r="EM121" s="347"/>
      <c r="EN121" s="347"/>
      <c r="EO121" s="347"/>
      <c r="EP121" s="347"/>
      <c r="EQ121" s="347"/>
      <c r="ER121" s="347"/>
    </row>
    <row r="122" spans="1:148">
      <c r="A122" s="363"/>
      <c r="B122" s="364"/>
      <c r="C122" s="365"/>
      <c r="D122" s="365" t="e">
        <f>IF(ISBLANK(#REF!),"",#REF!)</f>
        <v>#REF!</v>
      </c>
      <c r="E122" s="365" t="e">
        <f>IF(ISBLANK(#REF!),"",#REF!)</f>
        <v>#REF!</v>
      </c>
      <c r="U122" s="347"/>
      <c r="AS122" s="347"/>
      <c r="EL122" s="347"/>
      <c r="EM122" s="347"/>
      <c r="EN122" s="347"/>
      <c r="EO122" s="347"/>
      <c r="EP122" s="347"/>
      <c r="EQ122" s="347"/>
      <c r="ER122" s="347"/>
    </row>
    <row r="123" spans="1:148">
      <c r="A123" s="363"/>
      <c r="B123" s="364"/>
      <c r="C123" s="365"/>
      <c r="D123" s="365" t="e">
        <f>IF(ISBLANK(#REF!),"",#REF!)</f>
        <v>#REF!</v>
      </c>
      <c r="E123" s="365" t="e">
        <f>IF(ISBLANK(#REF!),"",#REF!)</f>
        <v>#REF!</v>
      </c>
      <c r="U123" s="347"/>
      <c r="AS123" s="347"/>
      <c r="EL123" s="347"/>
      <c r="EM123" s="347"/>
      <c r="EN123" s="347"/>
      <c r="EO123" s="347"/>
      <c r="EP123" s="347"/>
      <c r="EQ123" s="347"/>
      <c r="ER123" s="347"/>
    </row>
    <row r="124" spans="1:148">
      <c r="A124" s="363"/>
      <c r="B124" s="364"/>
      <c r="C124" s="365"/>
      <c r="D124" s="365" t="e">
        <f>IF(ISBLANK(#REF!),"",#REF!)</f>
        <v>#REF!</v>
      </c>
      <c r="E124" s="365" t="e">
        <f>IF(ISBLANK(#REF!),"",#REF!)</f>
        <v>#REF!</v>
      </c>
      <c r="U124" s="347"/>
      <c r="AS124" s="347"/>
      <c r="EL124" s="347"/>
      <c r="EM124" s="347"/>
      <c r="EN124" s="347"/>
      <c r="EO124" s="347"/>
      <c r="EP124" s="347"/>
      <c r="EQ124" s="347"/>
      <c r="ER124" s="347"/>
    </row>
    <row r="125" spans="1:148">
      <c r="A125" s="363"/>
      <c r="B125" s="364"/>
      <c r="C125" s="365"/>
      <c r="D125" s="365" t="e">
        <f>IF(ISBLANK(#REF!),"",#REF!)</f>
        <v>#REF!</v>
      </c>
      <c r="E125" s="365" t="e">
        <f>IF(ISBLANK(#REF!),"",#REF!)</f>
        <v>#REF!</v>
      </c>
      <c r="U125" s="347"/>
      <c r="AS125" s="347"/>
      <c r="EL125" s="347"/>
      <c r="EM125" s="347"/>
      <c r="EN125" s="347"/>
      <c r="EO125" s="347"/>
      <c r="EP125" s="347"/>
      <c r="EQ125" s="347"/>
      <c r="ER125" s="347"/>
    </row>
    <row r="126" spans="1:148">
      <c r="A126" s="363"/>
      <c r="B126" s="364"/>
      <c r="C126" s="365"/>
      <c r="D126" s="365" t="e">
        <f>IF(ISBLANK(#REF!),"",#REF!)</f>
        <v>#REF!</v>
      </c>
      <c r="E126" s="365" t="e">
        <f>IF(ISBLANK(#REF!),"",#REF!)</f>
        <v>#REF!</v>
      </c>
      <c r="U126" s="347"/>
      <c r="AS126" s="347"/>
      <c r="EL126" s="347"/>
      <c r="EM126" s="347"/>
      <c r="EN126" s="347"/>
      <c r="EO126" s="347"/>
      <c r="EP126" s="347"/>
      <c r="EQ126" s="347"/>
      <c r="ER126" s="347"/>
    </row>
    <row r="127" spans="1:148">
      <c r="A127" s="363"/>
      <c r="B127" s="364"/>
      <c r="C127" s="365"/>
      <c r="D127" s="365" t="e">
        <f>IF(ISBLANK(#REF!),"",#REF!)</f>
        <v>#REF!</v>
      </c>
      <c r="E127" s="365" t="e">
        <f>IF(ISBLANK(#REF!),"",#REF!)</f>
        <v>#REF!</v>
      </c>
      <c r="U127" s="347"/>
      <c r="AS127" s="347"/>
      <c r="EL127" s="347"/>
      <c r="EM127" s="347"/>
      <c r="EN127" s="347"/>
      <c r="EO127" s="347"/>
      <c r="EP127" s="347"/>
      <c r="EQ127" s="347"/>
      <c r="ER127" s="347"/>
    </row>
    <row r="128" spans="1:148">
      <c r="A128" s="363"/>
      <c r="B128" s="364"/>
      <c r="C128" s="365"/>
      <c r="D128" s="365" t="e">
        <f>IF(ISBLANK(#REF!),"",#REF!)</f>
        <v>#REF!</v>
      </c>
      <c r="E128" s="365" t="e">
        <f>IF(ISBLANK(#REF!),"",#REF!)</f>
        <v>#REF!</v>
      </c>
      <c r="U128" s="347"/>
      <c r="AS128" s="347"/>
      <c r="EL128" s="347"/>
      <c r="EM128" s="347"/>
      <c r="EN128" s="347"/>
      <c r="EO128" s="347"/>
      <c r="EP128" s="347"/>
      <c r="EQ128" s="347"/>
      <c r="ER128" s="347"/>
    </row>
    <row r="129" spans="1:148">
      <c r="A129" s="363"/>
      <c r="B129" s="364"/>
      <c r="C129" s="365"/>
      <c r="D129" s="365" t="e">
        <f>IF(ISBLANK(#REF!),"",#REF!)</f>
        <v>#REF!</v>
      </c>
      <c r="E129" s="365" t="e">
        <f>IF(ISBLANK(#REF!),"",#REF!)</f>
        <v>#REF!</v>
      </c>
      <c r="U129" s="347"/>
      <c r="AS129" s="347"/>
      <c r="EL129" s="347"/>
      <c r="EM129" s="347"/>
      <c r="EN129" s="347"/>
      <c r="EO129" s="347"/>
      <c r="EP129" s="347"/>
      <c r="EQ129" s="347"/>
      <c r="ER129" s="347"/>
    </row>
    <row r="130" spans="1:148">
      <c r="A130" s="363"/>
      <c r="B130" s="364"/>
      <c r="C130" s="365"/>
      <c r="D130" s="365" t="e">
        <f>IF(ISBLANK(#REF!),"",#REF!)</f>
        <v>#REF!</v>
      </c>
      <c r="E130" s="365" t="e">
        <f>IF(ISBLANK(#REF!),"",#REF!)</f>
        <v>#REF!</v>
      </c>
      <c r="U130" s="347"/>
      <c r="AS130" s="347"/>
      <c r="EL130" s="347"/>
      <c r="EM130" s="347"/>
      <c r="EN130" s="347"/>
      <c r="EO130" s="347"/>
      <c r="EP130" s="347"/>
      <c r="EQ130" s="347"/>
      <c r="ER130" s="347"/>
    </row>
    <row r="131" spans="1:148">
      <c r="A131" s="363"/>
      <c r="B131" s="364"/>
      <c r="C131" s="365"/>
      <c r="D131" s="365" t="e">
        <f>IF(ISBLANK(#REF!),"",#REF!)</f>
        <v>#REF!</v>
      </c>
      <c r="E131" s="365" t="e">
        <f>IF(ISBLANK(#REF!),"",#REF!)</f>
        <v>#REF!</v>
      </c>
      <c r="U131" s="347"/>
      <c r="AS131" s="347"/>
      <c r="EL131" s="347"/>
      <c r="EM131" s="347"/>
      <c r="EN131" s="347"/>
      <c r="EO131" s="347"/>
      <c r="EP131" s="347"/>
      <c r="EQ131" s="347"/>
      <c r="ER131" s="347"/>
    </row>
    <row r="132" spans="1:148">
      <c r="A132" s="363"/>
      <c r="B132" s="364"/>
      <c r="C132" s="365"/>
      <c r="D132" s="365" t="e">
        <f>IF(ISBLANK(#REF!),"",#REF!)</f>
        <v>#REF!</v>
      </c>
      <c r="E132" s="365" t="e">
        <f>IF(ISBLANK(#REF!),"",#REF!)</f>
        <v>#REF!</v>
      </c>
      <c r="U132" s="347"/>
      <c r="AS132" s="347"/>
      <c r="EL132" s="347"/>
      <c r="EM132" s="347"/>
      <c r="EN132" s="347"/>
      <c r="EO132" s="347"/>
      <c r="EP132" s="347"/>
      <c r="EQ132" s="347"/>
      <c r="ER132" s="347"/>
    </row>
    <row r="133" spans="1:148">
      <c r="A133" s="363"/>
      <c r="B133" s="364"/>
      <c r="C133" s="365"/>
      <c r="D133" s="365" t="e">
        <f>IF(ISBLANK(#REF!),"",#REF!)</f>
        <v>#REF!</v>
      </c>
      <c r="E133" s="365" t="e">
        <f>IF(ISBLANK(#REF!),"",#REF!)</f>
        <v>#REF!</v>
      </c>
      <c r="U133" s="347"/>
      <c r="AS133" s="347"/>
      <c r="EL133" s="347"/>
      <c r="EM133" s="347"/>
      <c r="EN133" s="347"/>
      <c r="EO133" s="347"/>
      <c r="EP133" s="347"/>
      <c r="EQ133" s="347"/>
      <c r="ER133" s="347"/>
    </row>
    <row r="134" spans="1:148">
      <c r="A134" s="363"/>
      <c r="B134" s="364"/>
      <c r="C134" s="365"/>
      <c r="D134" s="365" t="e">
        <f>IF(ISBLANK(#REF!),"",#REF!)</f>
        <v>#REF!</v>
      </c>
      <c r="E134" s="365" t="e">
        <f>IF(ISBLANK(#REF!),"",#REF!)</f>
        <v>#REF!</v>
      </c>
      <c r="U134" s="347"/>
      <c r="AS134" s="347"/>
      <c r="EL134" s="347"/>
      <c r="EM134" s="347"/>
      <c r="EN134" s="347"/>
      <c r="EO134" s="347"/>
      <c r="EP134" s="347"/>
      <c r="EQ134" s="347"/>
      <c r="ER134" s="347"/>
    </row>
    <row r="135" spans="1:148">
      <c r="A135" s="363"/>
      <c r="B135" s="364"/>
      <c r="C135" s="365"/>
      <c r="D135" s="365" t="e">
        <f>IF(ISBLANK(#REF!),"",#REF!)</f>
        <v>#REF!</v>
      </c>
      <c r="E135" s="365" t="e">
        <f>IF(ISBLANK(#REF!),"",#REF!)</f>
        <v>#REF!</v>
      </c>
      <c r="U135" s="347"/>
      <c r="AS135" s="347"/>
      <c r="EL135" s="347"/>
      <c r="EM135" s="347"/>
      <c r="EN135" s="347"/>
      <c r="EO135" s="347"/>
      <c r="EP135" s="347"/>
      <c r="EQ135" s="347"/>
      <c r="ER135" s="347"/>
    </row>
    <row r="136" spans="1:148">
      <c r="A136" s="363"/>
      <c r="B136" s="364"/>
      <c r="C136" s="365"/>
      <c r="D136" s="365" t="e">
        <f>IF(ISBLANK(#REF!),"",#REF!)</f>
        <v>#REF!</v>
      </c>
      <c r="E136" s="365" t="e">
        <f>IF(ISBLANK(#REF!),"",#REF!)</f>
        <v>#REF!</v>
      </c>
      <c r="U136" s="347"/>
      <c r="AS136" s="347"/>
      <c r="EL136" s="347"/>
      <c r="EM136" s="347"/>
      <c r="EN136" s="347"/>
      <c r="EO136" s="347"/>
      <c r="EP136" s="347"/>
      <c r="EQ136" s="347"/>
      <c r="ER136" s="347"/>
    </row>
    <row r="137" spans="1:148">
      <c r="A137" s="363"/>
      <c r="B137" s="364"/>
      <c r="C137" s="365"/>
      <c r="D137" s="365" t="e">
        <f>IF(ISBLANK(#REF!),"",#REF!)</f>
        <v>#REF!</v>
      </c>
      <c r="E137" s="365" t="e">
        <f>IF(ISBLANK(#REF!),"",#REF!)</f>
        <v>#REF!</v>
      </c>
      <c r="U137" s="347"/>
      <c r="AS137" s="347"/>
      <c r="EL137" s="347"/>
      <c r="EM137" s="347"/>
      <c r="EN137" s="347"/>
      <c r="EO137" s="347"/>
      <c r="EP137" s="347"/>
      <c r="EQ137" s="347"/>
      <c r="ER137" s="347"/>
    </row>
    <row r="138" spans="1:148">
      <c r="A138" s="363"/>
      <c r="B138" s="364"/>
      <c r="C138" s="365"/>
      <c r="D138" s="365" t="e">
        <f>IF(ISBLANK(#REF!),"",#REF!)</f>
        <v>#REF!</v>
      </c>
      <c r="E138" s="365" t="e">
        <f>IF(ISBLANK(#REF!),"",#REF!)</f>
        <v>#REF!</v>
      </c>
      <c r="U138" s="347"/>
      <c r="AS138" s="347"/>
      <c r="EL138" s="347"/>
      <c r="EM138" s="347"/>
      <c r="EN138" s="347"/>
      <c r="EO138" s="347"/>
      <c r="EP138" s="347"/>
      <c r="EQ138" s="347"/>
      <c r="ER138" s="347"/>
    </row>
    <row r="139" spans="1:148">
      <c r="A139" s="363"/>
      <c r="B139" s="364"/>
      <c r="C139" s="365"/>
      <c r="D139" s="365" t="e">
        <f>IF(ISBLANK(#REF!),"",#REF!)</f>
        <v>#REF!</v>
      </c>
      <c r="E139" s="365" t="e">
        <f>IF(ISBLANK(#REF!),"",#REF!)</f>
        <v>#REF!</v>
      </c>
      <c r="U139" s="347"/>
      <c r="AS139" s="347"/>
      <c r="EL139" s="347"/>
      <c r="EM139" s="347"/>
      <c r="EN139" s="347"/>
      <c r="EO139" s="347"/>
      <c r="EP139" s="347"/>
      <c r="EQ139" s="347"/>
      <c r="ER139" s="347"/>
    </row>
    <row r="140" spans="1:148">
      <c r="A140" s="363"/>
      <c r="B140" s="364"/>
      <c r="C140" s="365"/>
      <c r="D140" s="365" t="e">
        <f>IF(ISBLANK(#REF!),"",#REF!)</f>
        <v>#REF!</v>
      </c>
      <c r="E140" s="365" t="e">
        <f>IF(ISBLANK(#REF!),"",#REF!)</f>
        <v>#REF!</v>
      </c>
      <c r="U140" s="347"/>
      <c r="AS140" s="347"/>
      <c r="EL140" s="347"/>
      <c r="EM140" s="347"/>
      <c r="EN140" s="347"/>
      <c r="EO140" s="347"/>
      <c r="EP140" s="347"/>
      <c r="EQ140" s="347"/>
      <c r="ER140" s="347"/>
    </row>
    <row r="141" spans="1:148">
      <c r="A141" s="363"/>
      <c r="B141" s="364"/>
      <c r="C141" s="365"/>
      <c r="D141" s="365" t="e">
        <f>IF(ISBLANK(#REF!),"",#REF!)</f>
        <v>#REF!</v>
      </c>
      <c r="E141" s="365" t="e">
        <f>IF(ISBLANK(#REF!),"",#REF!)</f>
        <v>#REF!</v>
      </c>
      <c r="U141" s="347"/>
      <c r="AS141" s="347"/>
      <c r="EL141" s="347"/>
      <c r="EM141" s="347"/>
      <c r="EN141" s="347"/>
      <c r="EO141" s="347"/>
      <c r="EP141" s="347"/>
      <c r="EQ141" s="347"/>
      <c r="ER141" s="347"/>
    </row>
    <row r="142" spans="1:148">
      <c r="A142" s="363"/>
      <c r="B142" s="364"/>
      <c r="C142" s="365"/>
      <c r="D142" s="365" t="e">
        <f>IF(ISBLANK(#REF!),"",#REF!)</f>
        <v>#REF!</v>
      </c>
      <c r="E142" s="365" t="e">
        <f>IF(ISBLANK(#REF!),"",#REF!)</f>
        <v>#REF!</v>
      </c>
      <c r="U142" s="347"/>
      <c r="AS142" s="347"/>
      <c r="EL142" s="347"/>
      <c r="EM142" s="347"/>
      <c r="EN142" s="347"/>
      <c r="EO142" s="347"/>
      <c r="EP142" s="347"/>
      <c r="EQ142" s="347"/>
      <c r="ER142" s="347"/>
    </row>
    <row r="143" spans="1:148">
      <c r="A143" s="363"/>
      <c r="B143" s="364"/>
      <c r="C143" s="365"/>
      <c r="D143" s="365" t="e">
        <f>IF(ISBLANK(#REF!),"",#REF!)</f>
        <v>#REF!</v>
      </c>
      <c r="E143" s="365" t="e">
        <f>IF(ISBLANK(#REF!),"",#REF!)</f>
        <v>#REF!</v>
      </c>
      <c r="U143" s="347"/>
      <c r="AS143" s="347"/>
      <c r="EL143" s="347"/>
      <c r="EM143" s="347"/>
      <c r="EN143" s="347"/>
      <c r="EO143" s="347"/>
      <c r="EP143" s="347"/>
      <c r="EQ143" s="347"/>
      <c r="ER143" s="347"/>
    </row>
    <row r="144" spans="1:148">
      <c r="A144" s="363"/>
      <c r="B144" s="364"/>
      <c r="C144" s="365"/>
      <c r="D144" s="365" t="e">
        <f>IF(ISBLANK(#REF!),"",#REF!)</f>
        <v>#REF!</v>
      </c>
      <c r="E144" s="365" t="e">
        <f>IF(ISBLANK(#REF!),"",#REF!)</f>
        <v>#REF!</v>
      </c>
      <c r="U144" s="347"/>
      <c r="AS144" s="347"/>
      <c r="EL144" s="347"/>
      <c r="EM144" s="347"/>
      <c r="EN144" s="347"/>
      <c r="EO144" s="347"/>
      <c r="EP144" s="347"/>
      <c r="EQ144" s="347"/>
      <c r="ER144" s="347"/>
    </row>
    <row r="145" spans="1:148">
      <c r="A145" s="363"/>
      <c r="B145" s="364"/>
      <c r="C145" s="365"/>
      <c r="D145" s="365" t="e">
        <f>IF(ISBLANK(#REF!),"",#REF!)</f>
        <v>#REF!</v>
      </c>
      <c r="E145" s="365" t="e">
        <f>IF(ISBLANK(#REF!),"",#REF!)</f>
        <v>#REF!</v>
      </c>
      <c r="U145" s="347"/>
      <c r="AS145" s="347"/>
      <c r="EL145" s="347"/>
      <c r="EM145" s="347"/>
      <c r="EN145" s="347"/>
      <c r="EO145" s="347"/>
      <c r="EP145" s="347"/>
      <c r="EQ145" s="347"/>
      <c r="ER145" s="347"/>
    </row>
    <row r="146" spans="1:148">
      <c r="A146" s="363"/>
      <c r="B146" s="364"/>
      <c r="C146" s="365"/>
      <c r="D146" s="365" t="e">
        <f>IF(ISBLANK(#REF!),"",#REF!)</f>
        <v>#REF!</v>
      </c>
      <c r="E146" s="365" t="e">
        <f>IF(ISBLANK(#REF!),"",#REF!)</f>
        <v>#REF!</v>
      </c>
      <c r="U146" s="347"/>
      <c r="AS146" s="347"/>
      <c r="EL146" s="347"/>
      <c r="EM146" s="347"/>
      <c r="EN146" s="347"/>
      <c r="EO146" s="347"/>
      <c r="EP146" s="347"/>
      <c r="EQ146" s="347"/>
      <c r="ER146" s="347"/>
    </row>
    <row r="147" spans="1:148">
      <c r="A147" s="363"/>
      <c r="B147" s="364"/>
      <c r="C147" s="365"/>
      <c r="D147" s="365" t="e">
        <f>IF(ISBLANK(#REF!),"",#REF!)</f>
        <v>#REF!</v>
      </c>
      <c r="E147" s="365" t="e">
        <f>IF(ISBLANK(#REF!),"",#REF!)</f>
        <v>#REF!</v>
      </c>
      <c r="U147" s="347"/>
      <c r="AS147" s="347"/>
      <c r="EL147" s="347"/>
      <c r="EM147" s="347"/>
      <c r="EN147" s="347"/>
      <c r="EO147" s="347"/>
      <c r="EP147" s="347"/>
      <c r="EQ147" s="347"/>
      <c r="ER147" s="347"/>
    </row>
    <row r="148" spans="1:148">
      <c r="A148" s="363"/>
      <c r="B148" s="364"/>
      <c r="C148" s="365"/>
      <c r="D148" s="365" t="e">
        <f>IF(ISBLANK(#REF!),"",#REF!)</f>
        <v>#REF!</v>
      </c>
      <c r="E148" s="365" t="e">
        <f>IF(ISBLANK(#REF!),"",#REF!)</f>
        <v>#REF!</v>
      </c>
      <c r="U148" s="347"/>
      <c r="AS148" s="347"/>
      <c r="EL148" s="347"/>
      <c r="EM148" s="347"/>
      <c r="EN148" s="347"/>
      <c r="EO148" s="347"/>
      <c r="EP148" s="347"/>
      <c r="EQ148" s="347"/>
      <c r="ER148" s="347"/>
    </row>
    <row r="149" spans="1:148">
      <c r="A149" s="363"/>
      <c r="B149" s="364"/>
      <c r="C149" s="365"/>
      <c r="D149" s="365" t="e">
        <f>IF(ISBLANK(#REF!),"",#REF!)</f>
        <v>#REF!</v>
      </c>
      <c r="E149" s="365" t="e">
        <f>IF(ISBLANK(#REF!),"",#REF!)</f>
        <v>#REF!</v>
      </c>
      <c r="U149" s="347"/>
      <c r="AS149" s="347"/>
      <c r="EL149" s="347"/>
      <c r="EM149" s="347"/>
      <c r="EN149" s="347"/>
      <c r="EO149" s="347"/>
      <c r="EP149" s="347"/>
      <c r="EQ149" s="347"/>
      <c r="ER149" s="347"/>
    </row>
    <row r="150" spans="1:148">
      <c r="A150" s="363"/>
      <c r="B150" s="364"/>
      <c r="C150" s="365"/>
      <c r="D150" s="365" t="e">
        <f>IF(ISBLANK(#REF!),"",#REF!)</f>
        <v>#REF!</v>
      </c>
      <c r="E150" s="365" t="e">
        <f>IF(ISBLANK(#REF!),"",#REF!)</f>
        <v>#REF!</v>
      </c>
      <c r="U150" s="347"/>
      <c r="AS150" s="347"/>
      <c r="EL150" s="347"/>
      <c r="EM150" s="347"/>
      <c r="EN150" s="347"/>
      <c r="EO150" s="347"/>
      <c r="EP150" s="347"/>
      <c r="EQ150" s="347"/>
      <c r="ER150" s="347"/>
    </row>
    <row r="151" spans="1:148">
      <c r="A151" s="363"/>
      <c r="B151" s="364"/>
      <c r="C151" s="365"/>
      <c r="D151" s="365" t="e">
        <f>IF(ISBLANK(#REF!),"",#REF!)</f>
        <v>#REF!</v>
      </c>
      <c r="E151" s="365" t="e">
        <f>IF(ISBLANK(#REF!),"",#REF!)</f>
        <v>#REF!</v>
      </c>
      <c r="U151" s="347"/>
      <c r="AS151" s="347"/>
      <c r="EL151" s="347"/>
      <c r="EM151" s="347"/>
      <c r="EN151" s="347"/>
      <c r="EO151" s="347"/>
      <c r="EP151" s="347"/>
      <c r="EQ151" s="347"/>
      <c r="ER151" s="347"/>
    </row>
    <row r="152" spans="1:148">
      <c r="A152" s="363"/>
      <c r="B152" s="364"/>
      <c r="C152" s="365"/>
      <c r="D152" s="365" t="e">
        <f>IF(ISBLANK(#REF!),"",#REF!)</f>
        <v>#REF!</v>
      </c>
      <c r="E152" s="365" t="e">
        <f>IF(ISBLANK(#REF!),"",#REF!)</f>
        <v>#REF!</v>
      </c>
      <c r="U152" s="347"/>
      <c r="AS152" s="347"/>
      <c r="EL152" s="347"/>
      <c r="EM152" s="347"/>
      <c r="EN152" s="347"/>
      <c r="EO152" s="347"/>
      <c r="EP152" s="347"/>
      <c r="EQ152" s="347"/>
      <c r="ER152" s="347"/>
    </row>
    <row r="153" spans="1:148">
      <c r="A153" s="363"/>
      <c r="B153" s="364"/>
      <c r="C153" s="365"/>
      <c r="D153" s="365" t="e">
        <f>IF(ISBLANK(#REF!),"",#REF!)</f>
        <v>#REF!</v>
      </c>
      <c r="E153" s="365" t="e">
        <f>IF(ISBLANK(#REF!),"",#REF!)</f>
        <v>#REF!</v>
      </c>
      <c r="U153" s="347"/>
      <c r="AS153" s="347"/>
      <c r="EL153" s="347"/>
      <c r="EM153" s="347"/>
      <c r="EN153" s="347"/>
      <c r="EO153" s="347"/>
      <c r="EP153" s="347"/>
      <c r="EQ153" s="347"/>
      <c r="ER153" s="347"/>
    </row>
    <row r="154" spans="1:148">
      <c r="A154" s="363"/>
      <c r="B154" s="364"/>
      <c r="C154" s="365"/>
      <c r="D154" s="365" t="e">
        <f>IF(ISBLANK(#REF!),"",#REF!)</f>
        <v>#REF!</v>
      </c>
      <c r="E154" s="365" t="e">
        <f>IF(ISBLANK(#REF!),"",#REF!)</f>
        <v>#REF!</v>
      </c>
      <c r="U154" s="347"/>
      <c r="AS154" s="347"/>
      <c r="EL154" s="347"/>
      <c r="EM154" s="347"/>
      <c r="EN154" s="347"/>
      <c r="EO154" s="347"/>
      <c r="EP154" s="347"/>
      <c r="EQ154" s="347"/>
      <c r="ER154" s="347"/>
    </row>
    <row r="155" spans="1:148">
      <c r="A155" s="363"/>
      <c r="B155" s="364"/>
      <c r="C155" s="365"/>
      <c r="D155" s="365" t="e">
        <f>IF(ISBLANK(#REF!),"",#REF!)</f>
        <v>#REF!</v>
      </c>
      <c r="E155" s="365" t="e">
        <f>IF(ISBLANK(#REF!),"",#REF!)</f>
        <v>#REF!</v>
      </c>
      <c r="U155" s="347"/>
      <c r="AS155" s="347"/>
      <c r="EL155" s="347"/>
      <c r="EM155" s="347"/>
      <c r="EN155" s="347"/>
      <c r="EO155" s="347"/>
      <c r="EP155" s="347"/>
      <c r="EQ155" s="347"/>
      <c r="ER155" s="347"/>
    </row>
    <row r="156" spans="1:148">
      <c r="A156" s="363"/>
      <c r="B156" s="364"/>
      <c r="C156" s="365"/>
      <c r="D156" s="365" t="e">
        <f>IF(ISBLANK(#REF!),"",#REF!)</f>
        <v>#REF!</v>
      </c>
      <c r="E156" s="365" t="e">
        <f>IF(ISBLANK(#REF!),"",#REF!)</f>
        <v>#REF!</v>
      </c>
      <c r="U156" s="347"/>
      <c r="AS156" s="347"/>
      <c r="EL156" s="347"/>
      <c r="EM156" s="347"/>
      <c r="EN156" s="347"/>
      <c r="EO156" s="347"/>
      <c r="EP156" s="347"/>
      <c r="EQ156" s="347"/>
      <c r="ER156" s="347"/>
    </row>
    <row r="157" spans="1:148">
      <c r="A157" s="363"/>
      <c r="B157" s="364"/>
      <c r="C157" s="365"/>
      <c r="D157" s="365" t="e">
        <f>IF(ISBLANK(#REF!),"",#REF!)</f>
        <v>#REF!</v>
      </c>
      <c r="E157" s="365" t="e">
        <f>IF(ISBLANK(#REF!),"",#REF!)</f>
        <v>#REF!</v>
      </c>
      <c r="U157" s="347"/>
      <c r="AS157" s="347"/>
      <c r="EL157" s="347"/>
      <c r="EM157" s="347"/>
      <c r="EN157" s="347"/>
      <c r="EO157" s="347"/>
      <c r="EP157" s="347"/>
      <c r="EQ157" s="347"/>
      <c r="ER157" s="347"/>
    </row>
    <row r="158" spans="1:148">
      <c r="A158" s="363"/>
      <c r="B158" s="364"/>
      <c r="C158" s="365"/>
      <c r="D158" s="365" t="e">
        <f>IF(ISBLANK(#REF!),"",#REF!)</f>
        <v>#REF!</v>
      </c>
      <c r="E158" s="365" t="e">
        <f>IF(ISBLANK(#REF!),"",#REF!)</f>
        <v>#REF!</v>
      </c>
      <c r="U158" s="347"/>
      <c r="AS158" s="347"/>
      <c r="EL158" s="347"/>
      <c r="EM158" s="347"/>
      <c r="EN158" s="347"/>
      <c r="EO158" s="347"/>
      <c r="EP158" s="347"/>
      <c r="EQ158" s="347"/>
      <c r="ER158" s="347"/>
    </row>
    <row r="159" spans="1:148">
      <c r="A159" s="363"/>
      <c r="B159" s="364"/>
      <c r="C159" s="365"/>
      <c r="D159" s="365" t="e">
        <f>IF(ISBLANK(#REF!),"",#REF!)</f>
        <v>#REF!</v>
      </c>
      <c r="E159" s="365" t="e">
        <f>IF(ISBLANK(#REF!),"",#REF!)</f>
        <v>#REF!</v>
      </c>
      <c r="U159" s="347"/>
      <c r="AS159" s="347"/>
      <c r="EL159" s="347"/>
      <c r="EM159" s="347"/>
      <c r="EN159" s="347"/>
      <c r="EO159" s="347"/>
      <c r="EP159" s="347"/>
      <c r="EQ159" s="347"/>
      <c r="ER159" s="347"/>
    </row>
    <row r="160" spans="1:148">
      <c r="A160" s="363"/>
      <c r="B160" s="364"/>
      <c r="C160" s="365"/>
      <c r="D160" s="365" t="e">
        <f>IF(ISBLANK(#REF!),"",#REF!)</f>
        <v>#REF!</v>
      </c>
      <c r="E160" s="365" t="e">
        <f>IF(ISBLANK(#REF!),"",#REF!)</f>
        <v>#REF!</v>
      </c>
      <c r="U160" s="347"/>
      <c r="AS160" s="347"/>
      <c r="EL160" s="347"/>
      <c r="EM160" s="347"/>
      <c r="EN160" s="347"/>
      <c r="EO160" s="347"/>
      <c r="EP160" s="347"/>
      <c r="EQ160" s="347"/>
      <c r="ER160" s="347"/>
    </row>
    <row r="161" spans="1:148">
      <c r="A161" s="363"/>
      <c r="B161" s="364"/>
      <c r="C161" s="365"/>
      <c r="D161" s="365" t="e">
        <f>IF(ISBLANK(#REF!),"",#REF!)</f>
        <v>#REF!</v>
      </c>
      <c r="E161" s="365" t="e">
        <f>IF(ISBLANK(#REF!),"",#REF!)</f>
        <v>#REF!</v>
      </c>
      <c r="U161" s="347"/>
      <c r="AS161" s="347"/>
      <c r="EL161" s="347"/>
      <c r="EM161" s="347"/>
      <c r="EN161" s="347"/>
      <c r="EO161" s="347"/>
      <c r="EP161" s="347"/>
      <c r="EQ161" s="347"/>
      <c r="ER161" s="347"/>
    </row>
    <row r="162" spans="1:148">
      <c r="A162" s="363"/>
      <c r="B162" s="364"/>
      <c r="C162" s="365"/>
      <c r="D162" s="365" t="e">
        <f>IF(ISBLANK(#REF!),"",#REF!)</f>
        <v>#REF!</v>
      </c>
      <c r="E162" s="365" t="e">
        <f>IF(ISBLANK(#REF!),"",#REF!)</f>
        <v>#REF!</v>
      </c>
      <c r="U162" s="347"/>
      <c r="AS162" s="347"/>
      <c r="EL162" s="347"/>
      <c r="EM162" s="347"/>
      <c r="EN162" s="347"/>
      <c r="EO162" s="347"/>
      <c r="EP162" s="347"/>
      <c r="EQ162" s="347"/>
      <c r="ER162" s="347"/>
    </row>
    <row r="163" spans="1:148">
      <c r="A163" s="363"/>
      <c r="B163" s="364"/>
      <c r="C163" s="365"/>
      <c r="D163" s="365" t="e">
        <f>IF(ISBLANK(#REF!),"",#REF!)</f>
        <v>#REF!</v>
      </c>
      <c r="E163" s="365" t="e">
        <f>IF(ISBLANK(#REF!),"",#REF!)</f>
        <v>#REF!</v>
      </c>
      <c r="U163" s="347"/>
      <c r="AS163" s="347"/>
      <c r="EL163" s="347"/>
      <c r="EM163" s="347"/>
      <c r="EN163" s="347"/>
      <c r="EO163" s="347"/>
      <c r="EP163" s="347"/>
      <c r="EQ163" s="347"/>
      <c r="ER163" s="347"/>
    </row>
    <row r="164" spans="1:148">
      <c r="A164" s="363"/>
      <c r="B164" s="364"/>
      <c r="C164" s="365"/>
      <c r="D164" s="365" t="e">
        <f>IF(ISBLANK(#REF!),"",#REF!)</f>
        <v>#REF!</v>
      </c>
      <c r="E164" s="365" t="e">
        <f>IF(ISBLANK(#REF!),"",#REF!)</f>
        <v>#REF!</v>
      </c>
      <c r="U164" s="347"/>
      <c r="AS164" s="347"/>
      <c r="EL164" s="347"/>
      <c r="EM164" s="347"/>
      <c r="EN164" s="347"/>
      <c r="EO164" s="347"/>
      <c r="EP164" s="347"/>
      <c r="EQ164" s="347"/>
      <c r="ER164" s="347"/>
    </row>
    <row r="165" spans="1:148">
      <c r="A165" s="363"/>
      <c r="B165" s="364"/>
      <c r="C165" s="365"/>
      <c r="D165" s="365" t="e">
        <f>IF(ISBLANK(#REF!),"",#REF!)</f>
        <v>#REF!</v>
      </c>
      <c r="E165" s="365" t="e">
        <f>IF(ISBLANK(#REF!),"",#REF!)</f>
        <v>#REF!</v>
      </c>
      <c r="U165" s="347"/>
      <c r="AS165" s="347"/>
      <c r="EL165" s="347"/>
      <c r="EM165" s="347"/>
      <c r="EN165" s="347"/>
      <c r="EO165" s="347"/>
      <c r="EP165" s="347"/>
      <c r="EQ165" s="347"/>
      <c r="ER165" s="347"/>
    </row>
    <row r="166" spans="1:148">
      <c r="A166" s="363"/>
      <c r="B166" s="364"/>
      <c r="C166" s="365"/>
      <c r="D166" s="365" t="e">
        <f>IF(ISBLANK(#REF!),"",#REF!)</f>
        <v>#REF!</v>
      </c>
      <c r="E166" s="365" t="e">
        <f>IF(ISBLANK(#REF!),"",#REF!)</f>
        <v>#REF!</v>
      </c>
      <c r="U166" s="347"/>
      <c r="AS166" s="347"/>
      <c r="EL166" s="347"/>
      <c r="EM166" s="347"/>
      <c r="EN166" s="347"/>
      <c r="EO166" s="347"/>
      <c r="EP166" s="347"/>
      <c r="EQ166" s="347"/>
      <c r="ER166" s="347"/>
    </row>
    <row r="167" spans="1:148">
      <c r="A167" s="363"/>
      <c r="B167" s="364"/>
      <c r="C167" s="365"/>
      <c r="D167" s="365" t="e">
        <f>IF(ISBLANK(#REF!),"",#REF!)</f>
        <v>#REF!</v>
      </c>
      <c r="E167" s="365" t="e">
        <f>IF(ISBLANK(#REF!),"",#REF!)</f>
        <v>#REF!</v>
      </c>
      <c r="U167" s="347"/>
      <c r="AS167" s="347"/>
      <c r="EL167" s="347"/>
      <c r="EM167" s="347"/>
      <c r="EN167" s="347"/>
      <c r="EO167" s="347"/>
      <c r="EP167" s="347"/>
      <c r="EQ167" s="347"/>
      <c r="ER167" s="347"/>
    </row>
    <row r="168" spans="1:148">
      <c r="A168" s="363"/>
      <c r="B168" s="364"/>
      <c r="C168" s="365"/>
      <c r="D168" s="365" t="e">
        <f>IF(ISBLANK(#REF!),"",#REF!)</f>
        <v>#REF!</v>
      </c>
      <c r="E168" s="365" t="e">
        <f>IF(ISBLANK(#REF!),"",#REF!)</f>
        <v>#REF!</v>
      </c>
      <c r="U168" s="347"/>
      <c r="AS168" s="347"/>
      <c r="EL168" s="347"/>
      <c r="EM168" s="347"/>
      <c r="EN168" s="347"/>
      <c r="EO168" s="347"/>
      <c r="EP168" s="347"/>
      <c r="EQ168" s="347"/>
      <c r="ER168" s="347"/>
    </row>
    <row r="169" spans="1:148">
      <c r="A169" s="363"/>
      <c r="B169" s="364"/>
      <c r="C169" s="365"/>
      <c r="D169" s="365" t="e">
        <f>IF(ISBLANK(#REF!),"",#REF!)</f>
        <v>#REF!</v>
      </c>
      <c r="E169" s="365" t="e">
        <f>IF(ISBLANK(#REF!),"",#REF!)</f>
        <v>#REF!</v>
      </c>
      <c r="U169" s="347"/>
      <c r="AS169" s="347"/>
      <c r="EL169" s="347"/>
      <c r="EM169" s="347"/>
      <c r="EN169" s="347"/>
      <c r="EO169" s="347"/>
      <c r="EP169" s="347"/>
      <c r="EQ169" s="347"/>
      <c r="ER169" s="347"/>
    </row>
    <row r="170" spans="1:148">
      <c r="A170" s="363"/>
      <c r="B170" s="364"/>
      <c r="C170" s="365"/>
      <c r="D170" s="365" t="e">
        <f>IF(ISBLANK(#REF!),"",#REF!)</f>
        <v>#REF!</v>
      </c>
      <c r="E170" s="365" t="e">
        <f>IF(ISBLANK(#REF!),"",#REF!)</f>
        <v>#REF!</v>
      </c>
      <c r="U170" s="347"/>
      <c r="AS170" s="347"/>
      <c r="EL170" s="347"/>
      <c r="EM170" s="347"/>
      <c r="EN170" s="347"/>
      <c r="EO170" s="347"/>
      <c r="EP170" s="347"/>
      <c r="EQ170" s="347"/>
      <c r="ER170" s="347"/>
    </row>
    <row r="171" spans="1:148">
      <c r="A171" s="363"/>
      <c r="B171" s="364"/>
      <c r="C171" s="365"/>
      <c r="D171" s="365" t="e">
        <f>IF(ISBLANK(#REF!),"",#REF!)</f>
        <v>#REF!</v>
      </c>
      <c r="E171" s="365" t="e">
        <f>IF(ISBLANK(#REF!),"",#REF!)</f>
        <v>#REF!</v>
      </c>
      <c r="U171" s="347"/>
      <c r="AS171" s="347"/>
      <c r="EL171" s="347"/>
      <c r="EM171" s="347"/>
      <c r="EN171" s="347"/>
      <c r="EO171" s="347"/>
      <c r="EP171" s="347"/>
      <c r="EQ171" s="347"/>
      <c r="ER171" s="347"/>
    </row>
    <row r="172" spans="1:148">
      <c r="A172" s="363"/>
      <c r="B172" s="364"/>
      <c r="C172" s="365"/>
      <c r="D172" s="365" t="e">
        <f>IF(ISBLANK(#REF!),"",#REF!)</f>
        <v>#REF!</v>
      </c>
      <c r="E172" s="365" t="e">
        <f>IF(ISBLANK(#REF!),"",#REF!)</f>
        <v>#REF!</v>
      </c>
      <c r="U172" s="347"/>
      <c r="AS172" s="347"/>
      <c r="EL172" s="347"/>
      <c r="EM172" s="347"/>
      <c r="EN172" s="347"/>
      <c r="EO172" s="347"/>
      <c r="EP172" s="347"/>
      <c r="EQ172" s="347"/>
      <c r="ER172" s="347"/>
    </row>
    <row r="173" spans="1:148">
      <c r="A173" s="363"/>
      <c r="B173" s="364"/>
      <c r="C173" s="365"/>
      <c r="D173" s="365" t="e">
        <f>IF(ISBLANK(#REF!),"",#REF!)</f>
        <v>#REF!</v>
      </c>
      <c r="E173" s="365" t="e">
        <f>IF(ISBLANK(#REF!),"",#REF!)</f>
        <v>#REF!</v>
      </c>
      <c r="U173" s="347"/>
      <c r="AS173" s="347"/>
      <c r="EL173" s="347"/>
      <c r="EM173" s="347"/>
      <c r="EN173" s="347"/>
      <c r="EO173" s="347"/>
      <c r="EP173" s="347"/>
      <c r="EQ173" s="347"/>
      <c r="ER173" s="347"/>
    </row>
    <row r="174" spans="1:148">
      <c r="A174" s="363"/>
      <c r="B174" s="364"/>
      <c r="C174" s="365"/>
      <c r="D174" s="365" t="e">
        <f>IF(ISBLANK(#REF!),"",#REF!)</f>
        <v>#REF!</v>
      </c>
      <c r="E174" s="365" t="e">
        <f>IF(ISBLANK(#REF!),"",#REF!)</f>
        <v>#REF!</v>
      </c>
      <c r="U174" s="347"/>
      <c r="AS174" s="347"/>
      <c r="EL174" s="347"/>
      <c r="EM174" s="347"/>
      <c r="EN174" s="347"/>
      <c r="EO174" s="347"/>
      <c r="EP174" s="347"/>
      <c r="EQ174" s="347"/>
      <c r="ER174" s="347"/>
    </row>
    <row r="175" spans="1:148">
      <c r="A175" s="363"/>
      <c r="B175" s="364"/>
      <c r="C175" s="365"/>
      <c r="D175" s="365" t="e">
        <f>IF(ISBLANK(#REF!),"",#REF!)</f>
        <v>#REF!</v>
      </c>
      <c r="E175" s="365" t="e">
        <f>IF(ISBLANK(#REF!),"",#REF!)</f>
        <v>#REF!</v>
      </c>
      <c r="U175" s="347"/>
      <c r="AS175" s="347"/>
      <c r="EL175" s="347"/>
      <c r="EM175" s="347"/>
      <c r="EN175" s="347"/>
      <c r="EO175" s="347"/>
      <c r="EP175" s="347"/>
      <c r="EQ175" s="347"/>
      <c r="ER175" s="347"/>
    </row>
    <row r="176" spans="1:148">
      <c r="A176" s="363"/>
      <c r="B176" s="364"/>
      <c r="C176" s="365"/>
      <c r="D176" s="365" t="e">
        <f>IF(ISBLANK(#REF!),"",#REF!)</f>
        <v>#REF!</v>
      </c>
      <c r="E176" s="365" t="e">
        <f>IF(ISBLANK(#REF!),"",#REF!)</f>
        <v>#REF!</v>
      </c>
      <c r="U176" s="347"/>
      <c r="AS176" s="347"/>
      <c r="EL176" s="347"/>
      <c r="EM176" s="347"/>
      <c r="EN176" s="347"/>
      <c r="EO176" s="347"/>
      <c r="EP176" s="347"/>
      <c r="EQ176" s="347"/>
      <c r="ER176" s="347"/>
    </row>
    <row r="177" spans="1:148">
      <c r="A177" s="363"/>
      <c r="B177" s="364"/>
      <c r="C177" s="365"/>
      <c r="D177" s="365" t="e">
        <f>IF(ISBLANK(#REF!),"",#REF!)</f>
        <v>#REF!</v>
      </c>
      <c r="E177" s="365" t="e">
        <f>IF(ISBLANK(#REF!),"",#REF!)</f>
        <v>#REF!</v>
      </c>
      <c r="U177" s="347"/>
      <c r="AS177" s="347"/>
      <c r="EL177" s="347"/>
      <c r="EM177" s="347"/>
      <c r="EN177" s="347"/>
      <c r="EO177" s="347"/>
      <c r="EP177" s="347"/>
      <c r="EQ177" s="347"/>
      <c r="ER177" s="347"/>
    </row>
    <row r="178" spans="1:148">
      <c r="A178" s="363"/>
      <c r="B178" s="364"/>
      <c r="C178" s="365"/>
      <c r="D178" s="365" t="e">
        <f>IF(ISBLANK(#REF!),"",#REF!)</f>
        <v>#REF!</v>
      </c>
      <c r="E178" s="365" t="e">
        <f>IF(ISBLANK(#REF!),"",#REF!)</f>
        <v>#REF!</v>
      </c>
      <c r="U178" s="347"/>
      <c r="AS178" s="347"/>
      <c r="EL178" s="347"/>
      <c r="EM178" s="347"/>
      <c r="EN178" s="347"/>
      <c r="EO178" s="347"/>
      <c r="EP178" s="347"/>
      <c r="EQ178" s="347"/>
      <c r="ER178" s="347"/>
    </row>
    <row r="179" spans="1:148">
      <c r="A179" s="363"/>
      <c r="B179" s="364"/>
      <c r="C179" s="365"/>
      <c r="D179" s="365" t="e">
        <f>IF(ISBLANK(#REF!),"",#REF!)</f>
        <v>#REF!</v>
      </c>
      <c r="E179" s="365" t="e">
        <f>IF(ISBLANK(#REF!),"",#REF!)</f>
        <v>#REF!</v>
      </c>
      <c r="U179" s="347"/>
      <c r="AS179" s="347"/>
      <c r="EL179" s="347"/>
      <c r="EM179" s="347"/>
      <c r="EN179" s="347"/>
      <c r="EO179" s="347"/>
      <c r="EP179" s="347"/>
      <c r="EQ179" s="347"/>
      <c r="ER179" s="347"/>
    </row>
    <row r="180" spans="1:148">
      <c r="A180" s="363"/>
      <c r="B180" s="364"/>
      <c r="C180" s="365"/>
      <c r="D180" s="365" t="e">
        <f>IF(ISBLANK(#REF!),"",#REF!)</f>
        <v>#REF!</v>
      </c>
      <c r="E180" s="365" t="e">
        <f>IF(ISBLANK(#REF!),"",#REF!)</f>
        <v>#REF!</v>
      </c>
      <c r="U180" s="347"/>
      <c r="AS180" s="347"/>
      <c r="EL180" s="347"/>
      <c r="EM180" s="347"/>
      <c r="EN180" s="347"/>
      <c r="EO180" s="347"/>
      <c r="EP180" s="347"/>
      <c r="EQ180" s="347"/>
      <c r="ER180" s="347"/>
    </row>
    <row r="181" spans="1:148">
      <c r="A181" s="363"/>
      <c r="B181" s="364"/>
      <c r="C181" s="365"/>
      <c r="D181" s="365" t="e">
        <f>IF(ISBLANK(#REF!),"",#REF!)</f>
        <v>#REF!</v>
      </c>
      <c r="E181" s="365" t="e">
        <f>IF(ISBLANK(#REF!),"",#REF!)</f>
        <v>#REF!</v>
      </c>
      <c r="U181" s="347"/>
      <c r="AS181" s="347"/>
      <c r="EL181" s="347"/>
      <c r="EM181" s="347"/>
      <c r="EN181" s="347"/>
      <c r="EO181" s="347"/>
      <c r="EP181" s="347"/>
      <c r="EQ181" s="347"/>
      <c r="ER181" s="347"/>
    </row>
    <row r="182" spans="1:148">
      <c r="A182" s="363"/>
      <c r="B182" s="364"/>
      <c r="C182" s="365"/>
      <c r="D182" s="365" t="e">
        <f>IF(ISBLANK(#REF!),"",#REF!)</f>
        <v>#REF!</v>
      </c>
      <c r="E182" s="365" t="e">
        <f>IF(ISBLANK(#REF!),"",#REF!)</f>
        <v>#REF!</v>
      </c>
      <c r="U182" s="347"/>
      <c r="AS182" s="347"/>
      <c r="EL182" s="347"/>
      <c r="EM182" s="347"/>
      <c r="EN182" s="347"/>
      <c r="EO182" s="347"/>
      <c r="EP182" s="347"/>
      <c r="EQ182" s="347"/>
      <c r="ER182" s="347"/>
    </row>
    <row r="183" spans="1:148">
      <c r="A183" s="363"/>
      <c r="B183" s="364"/>
      <c r="C183" s="365"/>
      <c r="D183" s="365" t="e">
        <f>IF(ISBLANK(#REF!),"",#REF!)</f>
        <v>#REF!</v>
      </c>
      <c r="E183" s="365" t="e">
        <f>IF(ISBLANK(#REF!),"",#REF!)</f>
        <v>#REF!</v>
      </c>
      <c r="U183" s="347"/>
      <c r="AS183" s="347"/>
      <c r="EL183" s="347"/>
      <c r="EM183" s="347"/>
      <c r="EN183" s="347"/>
      <c r="EO183" s="347"/>
      <c r="EP183" s="347"/>
      <c r="EQ183" s="347"/>
      <c r="ER183" s="347"/>
    </row>
    <row r="184" spans="1:148">
      <c r="A184" s="363"/>
      <c r="B184" s="364"/>
      <c r="C184" s="365"/>
      <c r="D184" s="365" t="e">
        <f>IF(ISBLANK(#REF!),"",#REF!)</f>
        <v>#REF!</v>
      </c>
      <c r="E184" s="365" t="e">
        <f>IF(ISBLANK(#REF!),"",#REF!)</f>
        <v>#REF!</v>
      </c>
      <c r="U184" s="347"/>
      <c r="AS184" s="347"/>
      <c r="EL184" s="347"/>
      <c r="EM184" s="347"/>
      <c r="EN184" s="347"/>
      <c r="EO184" s="347"/>
      <c r="EP184" s="347"/>
      <c r="EQ184" s="347"/>
      <c r="ER184" s="347"/>
    </row>
    <row r="185" spans="1:148">
      <c r="A185" s="363"/>
      <c r="B185" s="364"/>
      <c r="C185" s="365"/>
      <c r="D185" s="365" t="e">
        <f>IF(ISBLANK(#REF!),"",#REF!)</f>
        <v>#REF!</v>
      </c>
      <c r="E185" s="365" t="e">
        <f>IF(ISBLANK(#REF!),"",#REF!)</f>
        <v>#REF!</v>
      </c>
      <c r="U185" s="347"/>
      <c r="AS185" s="347"/>
      <c r="EL185" s="347"/>
      <c r="EM185" s="347"/>
      <c r="EN185" s="347"/>
      <c r="EO185" s="347"/>
      <c r="EP185" s="347"/>
      <c r="EQ185" s="347"/>
      <c r="ER185" s="347"/>
    </row>
    <row r="186" spans="1:148">
      <c r="A186" s="363"/>
      <c r="B186" s="364"/>
      <c r="C186" s="365"/>
      <c r="D186" s="365" t="e">
        <f>IF(ISBLANK(#REF!),"",#REF!)</f>
        <v>#REF!</v>
      </c>
      <c r="E186" s="365" t="e">
        <f>IF(ISBLANK(#REF!),"",#REF!)</f>
        <v>#REF!</v>
      </c>
      <c r="U186" s="347"/>
      <c r="AS186" s="347"/>
      <c r="EL186" s="347"/>
      <c r="EM186" s="347"/>
      <c r="EN186" s="347"/>
      <c r="EO186" s="347"/>
      <c r="EP186" s="347"/>
      <c r="EQ186" s="347"/>
      <c r="ER186" s="347"/>
    </row>
    <row r="187" spans="1:148">
      <c r="A187" s="363"/>
      <c r="B187" s="364"/>
      <c r="C187" s="365"/>
      <c r="D187" s="365" t="e">
        <f>IF(ISBLANK(#REF!),"",#REF!)</f>
        <v>#REF!</v>
      </c>
      <c r="E187" s="365" t="e">
        <f>IF(ISBLANK(#REF!),"",#REF!)</f>
        <v>#REF!</v>
      </c>
      <c r="U187" s="347"/>
      <c r="AS187" s="347"/>
    </row>
    <row r="192" spans="1:148">
      <c r="A192" s="360"/>
      <c r="B192" s="361"/>
      <c r="C192" s="346"/>
      <c r="D192" s="346"/>
      <c r="E192" s="346"/>
      <c r="F192" s="346"/>
      <c r="G192" s="346"/>
      <c r="H192" s="346"/>
      <c r="I192" s="346"/>
      <c r="J192" s="346"/>
      <c r="K192" s="346"/>
      <c r="L192" s="346"/>
      <c r="M192" s="346"/>
      <c r="N192" s="346"/>
      <c r="O192" s="346"/>
      <c r="P192" s="346"/>
      <c r="Q192" s="346"/>
      <c r="R192" s="346"/>
      <c r="S192" s="346"/>
      <c r="T192" s="346"/>
      <c r="U192" s="346"/>
      <c r="V192" s="346"/>
      <c r="W192" s="346"/>
      <c r="X192" s="346"/>
      <c r="Y192" s="346"/>
      <c r="Z192" s="346"/>
      <c r="AA192" s="346"/>
      <c r="AB192" s="346"/>
      <c r="AC192" s="346"/>
      <c r="AD192" s="346"/>
      <c r="AE192" s="346"/>
      <c r="AF192" s="346"/>
      <c r="AG192" s="346"/>
      <c r="AH192" s="346"/>
      <c r="AI192" s="346"/>
      <c r="AJ192" s="346"/>
      <c r="AK192" s="346"/>
      <c r="AL192" s="346"/>
      <c r="AM192" s="346"/>
      <c r="AN192" s="346"/>
      <c r="AO192" s="346"/>
      <c r="AP192" s="346"/>
      <c r="AQ192" s="346"/>
      <c r="AR192" s="346"/>
      <c r="AS192" s="346"/>
      <c r="AT192" s="346"/>
      <c r="AU192" s="346"/>
      <c r="AV192" s="346"/>
    </row>
  </sheetData>
  <sheetProtection selectLockedCells="1"/>
  <phoneticPr fontId="28" type="noConversion"/>
  <pageMargins left="0.78740157499999996" right="0.78740157499999996" top="0.51" bottom="0.984251969" header="0.4921259845" footer="0.4921259845"/>
  <pageSetup paperSize="9" orientation="landscape" horizontalDpi="4294967293" verticalDpi="360" r:id="rId1"/>
  <headerFooter alignWithMargins="0"/>
  <ignoredErrors>
    <ignoredError sqref="W6:AZ6 C6:K6 L6:V6"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83297" r:id="rId4" name="Button 1">
              <controlPr defaultSize="0" print="0" autoFill="0" autoPict="0" macro="[0]!Accueil">
                <anchor moveWithCells="1" sizeWithCells="1">
                  <from>
                    <xdr:col>0</xdr:col>
                    <xdr:colOff>152400</xdr:colOff>
                    <xdr:row>13</xdr:row>
                    <xdr:rowOff>142875</xdr:rowOff>
                  </from>
                  <to>
                    <xdr:col>1</xdr:col>
                    <xdr:colOff>676275</xdr:colOff>
                    <xdr:row>17</xdr:row>
                    <xdr:rowOff>38100</xdr:rowOff>
                  </to>
                </anchor>
              </controlPr>
            </control>
          </mc:Choice>
        </mc:AlternateContent>
        <mc:AlternateContent xmlns:mc="http://schemas.openxmlformats.org/markup-compatibility/2006">
          <mc:Choice Requires="x14">
            <control shapeId="183298" r:id="rId5" name="Button 2">
              <controlPr defaultSize="0" print="0" autoFill="0" autoPict="0" macro="[0]!GraphIMC">
                <anchor moveWithCells="1" sizeWithCells="1">
                  <from>
                    <xdr:col>0</xdr:col>
                    <xdr:colOff>152400</xdr:colOff>
                    <xdr:row>17</xdr:row>
                    <xdr:rowOff>142875</xdr:rowOff>
                  </from>
                  <to>
                    <xdr:col>1</xdr:col>
                    <xdr:colOff>676275</xdr:colOff>
                    <xdr:row>21</xdr:row>
                    <xdr:rowOff>180975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dimension ref="A1:BP30"/>
  <sheetViews>
    <sheetView workbookViewId="0"/>
  </sheetViews>
  <sheetFormatPr baseColWidth="10" defaultRowHeight="12.75"/>
  <cols>
    <col min="1" max="14" width="18" customWidth="1"/>
    <col min="15" max="15" width="16.85546875" customWidth="1"/>
    <col min="23" max="23" width="12.85546875" customWidth="1"/>
    <col min="27" max="27" width="13.85546875" customWidth="1"/>
  </cols>
  <sheetData>
    <row r="1" spans="1:68" ht="23.25">
      <c r="A1" s="11" t="s">
        <v>355</v>
      </c>
    </row>
    <row r="2" spans="1:68" s="16" customFormat="1" ht="15.75"/>
    <row r="3" spans="1:68" s="12" customFormat="1" ht="66">
      <c r="A3" s="71" t="s">
        <v>465</v>
      </c>
      <c r="B3" s="71" t="s">
        <v>466</v>
      </c>
      <c r="C3" s="71" t="s">
        <v>467</v>
      </c>
      <c r="D3" s="71" t="s">
        <v>468</v>
      </c>
      <c r="E3" s="71" t="s">
        <v>432</v>
      </c>
      <c r="F3" s="71" t="s">
        <v>433</v>
      </c>
      <c r="G3" s="71" t="s">
        <v>469</v>
      </c>
      <c r="H3" s="71" t="s">
        <v>470</v>
      </c>
      <c r="I3" s="71" t="s">
        <v>471</v>
      </c>
      <c r="J3" s="71" t="s">
        <v>642</v>
      </c>
      <c r="K3" s="71" t="s">
        <v>472</v>
      </c>
      <c r="L3" s="71" t="s">
        <v>563</v>
      </c>
      <c r="M3" s="71" t="s">
        <v>473</v>
      </c>
      <c r="N3" s="71" t="s">
        <v>564</v>
      </c>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row>
    <row r="4" spans="1:68">
      <c r="A4">
        <f>SUM(Archive1!$J$16:$J$21)</f>
        <v>0</v>
      </c>
      <c r="B4">
        <f>SUM(Archive1!$J$22:$J$27)</f>
        <v>0</v>
      </c>
      <c r="C4">
        <f>SUM(Archive1!$J$28:$J$33)</f>
        <v>0</v>
      </c>
      <c r="D4">
        <f>SUM(Archive1!$J$34:$J$39)</f>
        <v>0</v>
      </c>
      <c r="E4">
        <f>SUM(Archive1!$J$40:$J$45)</f>
        <v>0</v>
      </c>
      <c r="F4">
        <f>SUM(Archive1!$J$46:$J$51)</f>
        <v>0</v>
      </c>
      <c r="G4">
        <f>SUM(Archive1!$J$52:$J$57)</f>
        <v>0</v>
      </c>
      <c r="H4">
        <f>SUM(Archive1!$J$58:$J$63)</f>
        <v>0</v>
      </c>
      <c r="I4">
        <f>SUM(Archive1!$J$64:$J$69)</f>
        <v>0</v>
      </c>
      <c r="J4">
        <f>SUM(Archive1!$J$70:$J$75)</f>
        <v>0</v>
      </c>
      <c r="K4">
        <f>SUM(Archive1!$J$76:$J$81)</f>
        <v>0</v>
      </c>
      <c r="L4">
        <f>SUM(Archive1!$J$82:$J$87)</f>
        <v>0</v>
      </c>
      <c r="M4">
        <f>SUM(Archive1!$J$88:$J$93)</f>
        <v>0</v>
      </c>
      <c r="N4">
        <f>SUM(Archive1!$J$94:$J$99)</f>
        <v>0</v>
      </c>
    </row>
    <row r="5" spans="1:68">
      <c r="A5">
        <f>SUM(Archive2!$J$16:$J$21)</f>
        <v>0</v>
      </c>
      <c r="B5">
        <f>SUM(Archive2!$J$22:$J$27)</f>
        <v>0</v>
      </c>
      <c r="C5">
        <f>SUM(Archive2!$J$28:$J$33)</f>
        <v>0</v>
      </c>
      <c r="D5">
        <f>SUM(Archive2!$J$34:$J$39)</f>
        <v>0</v>
      </c>
      <c r="E5">
        <f>SUM(Archive2!$J$40:$J$45)</f>
        <v>0</v>
      </c>
      <c r="F5">
        <f>SUM(Archive2!$J$46:$J$51)</f>
        <v>0</v>
      </c>
      <c r="G5">
        <f>SUM(Archive2!$J$52:$J$57)</f>
        <v>0</v>
      </c>
      <c r="H5">
        <f>SUM(Archive2!$J$58:$J$63)</f>
        <v>0</v>
      </c>
      <c r="I5">
        <f>SUM(Archive2!$J$64:$J$69)</f>
        <v>0</v>
      </c>
      <c r="J5">
        <f>SUM(Archive2!$J$70:$J$75)</f>
        <v>0</v>
      </c>
      <c r="K5">
        <f>SUM(Archive2!$J$76:$J$81)</f>
        <v>0</v>
      </c>
      <c r="L5">
        <f>SUM(Archive2!$J$82:$J$87)</f>
        <v>0</v>
      </c>
      <c r="M5">
        <f>SUM(Archive2!$J$88:$J$93)</f>
        <v>0</v>
      </c>
      <c r="N5">
        <f>SUM(Archive2!$J$94:$J$99)</f>
        <v>0</v>
      </c>
    </row>
    <row r="6" spans="1:68">
      <c r="A6">
        <f>SUM(Archive3!$J$16:$J$21)</f>
        <v>0</v>
      </c>
      <c r="B6">
        <f>SUM(Archive3!$J$22:$J$27)</f>
        <v>0</v>
      </c>
      <c r="C6">
        <f>SUM(Archive3!$J$28:$J$33)</f>
        <v>0</v>
      </c>
      <c r="D6">
        <f>SUM(Archive3!$J$34:$J$39)</f>
        <v>0</v>
      </c>
      <c r="E6">
        <f>SUM(Archive3!$J$40:$J$45)</f>
        <v>0</v>
      </c>
      <c r="F6">
        <f>SUM(Archive3!$J$46:$J$51)</f>
        <v>0</v>
      </c>
      <c r="G6">
        <f>SUM(Archive3!$J$52:$J$57)</f>
        <v>0</v>
      </c>
      <c r="H6">
        <f>SUM(Archive3!$J$58:$J$63)</f>
        <v>0</v>
      </c>
      <c r="I6">
        <f>SUM(Archive3!$J$64:$J$69)</f>
        <v>0</v>
      </c>
      <c r="J6">
        <f>SUM(Archive3!$J$70:$J$75)</f>
        <v>0</v>
      </c>
      <c r="K6">
        <f>SUM(Archive3!$J$76:$J$81)</f>
        <v>0</v>
      </c>
      <c r="L6">
        <f>SUM(Archive3!$J$82:$J$87)</f>
        <v>0</v>
      </c>
      <c r="M6">
        <f>SUM(Archive3!$J$88:$J$93)</f>
        <v>0</v>
      </c>
      <c r="N6">
        <f>SUM(Archive3!$J$94:$J$99)</f>
        <v>0</v>
      </c>
    </row>
    <row r="7" spans="1:68">
      <c r="A7">
        <f>SUM(Archive4!$J$16:$J$21)</f>
        <v>0</v>
      </c>
      <c r="B7">
        <f>SUM(Archive4!$J$22:$J$27)</f>
        <v>0</v>
      </c>
      <c r="C7">
        <f>SUM(Archive4!$J$28:$J$33)</f>
        <v>0</v>
      </c>
      <c r="D7">
        <f>SUM(Archive4!$J$34:$J$39)</f>
        <v>0</v>
      </c>
      <c r="E7">
        <f>SUM(Archive4!$J$40:$J$45)</f>
        <v>0</v>
      </c>
      <c r="F7">
        <f>SUM(Archive4!$J$46:$J$51)</f>
        <v>0</v>
      </c>
      <c r="G7">
        <f>SUM(Archive4!$J$52:$J$57)</f>
        <v>0</v>
      </c>
      <c r="H7">
        <f>SUM(Archive4!$J$58:$J$63)</f>
        <v>0</v>
      </c>
      <c r="I7">
        <f>SUM(Archive4!$J$64:$J$69)</f>
        <v>0</v>
      </c>
      <c r="J7">
        <f>SUM(Archive4!$J$70:$J$75)</f>
        <v>0</v>
      </c>
      <c r="K7">
        <f>SUM(Archive4!$J$76:$J$81)</f>
        <v>0</v>
      </c>
      <c r="L7">
        <f>SUM(Archive4!$J$82:$J$87)</f>
        <v>0</v>
      </c>
      <c r="M7">
        <f>SUM(Archive4!$J$88:$J$93)</f>
        <v>0</v>
      </c>
      <c r="N7">
        <f>SUM(Archive4!$J$94:$J$99)</f>
        <v>0</v>
      </c>
    </row>
    <row r="8" spans="1:68">
      <c r="A8">
        <f>SUM(Archive5!$J$16:$J$21)</f>
        <v>0</v>
      </c>
      <c r="B8">
        <f>SUM(Archive5!$J$22:$J$27)</f>
        <v>0</v>
      </c>
      <c r="C8">
        <f>SUM(Archive5!$J$28:$J$33)</f>
        <v>0</v>
      </c>
      <c r="D8">
        <f>SUM(Archive5!$J$34:$J$39)</f>
        <v>0</v>
      </c>
      <c r="E8">
        <f>SUM(Archive5!$J$40:$J$45)</f>
        <v>0</v>
      </c>
      <c r="F8">
        <f>SUM(Archive5!$J$46:$J$51)</f>
        <v>0</v>
      </c>
      <c r="G8">
        <f>SUM(Archive5!$J$52:$J$57)</f>
        <v>0</v>
      </c>
      <c r="H8">
        <f>SUM(Archive5!$J$58:$J$63)</f>
        <v>0</v>
      </c>
      <c r="I8">
        <f>SUM(Archive5!$J$64:$J$69)</f>
        <v>0</v>
      </c>
      <c r="J8">
        <f>SUM(Archive5!$J$70:$J$75)</f>
        <v>0</v>
      </c>
      <c r="K8">
        <f>SUM(Archive5!$J$76:$J$81)</f>
        <v>0</v>
      </c>
      <c r="L8">
        <f>SUM(Archive5!$J$82:$J$87)</f>
        <v>0</v>
      </c>
      <c r="M8">
        <f>SUM(Archive5!$J$88:$J$93)</f>
        <v>0</v>
      </c>
      <c r="N8">
        <f>SUM(Archive5!$J$94:$J$99)</f>
        <v>0</v>
      </c>
    </row>
    <row r="11" spans="1:68">
      <c r="A11" s="24" t="s">
        <v>166</v>
      </c>
    </row>
    <row r="13" spans="1:68">
      <c r="A13" s="25">
        <f xml:space="preserve"> A4/24</f>
        <v>0</v>
      </c>
      <c r="B13" s="25">
        <f t="shared" ref="B13:N13" si="0" xml:space="preserve"> B4/24</f>
        <v>0</v>
      </c>
      <c r="C13" s="25">
        <f t="shared" si="0"/>
        <v>0</v>
      </c>
      <c r="D13" s="25">
        <f t="shared" si="0"/>
        <v>0</v>
      </c>
      <c r="E13" s="25">
        <f t="shared" si="0"/>
        <v>0</v>
      </c>
      <c r="F13" s="25">
        <f t="shared" si="0"/>
        <v>0</v>
      </c>
      <c r="G13" s="25">
        <f t="shared" si="0"/>
        <v>0</v>
      </c>
      <c r="H13" s="25">
        <f t="shared" si="0"/>
        <v>0</v>
      </c>
      <c r="I13" s="25">
        <f t="shared" si="0"/>
        <v>0</v>
      </c>
      <c r="J13" s="25">
        <f t="shared" si="0"/>
        <v>0</v>
      </c>
      <c r="K13" s="25">
        <f t="shared" si="0"/>
        <v>0</v>
      </c>
      <c r="L13" s="25">
        <f t="shared" si="0"/>
        <v>0</v>
      </c>
      <c r="M13" s="25">
        <f t="shared" si="0"/>
        <v>0</v>
      </c>
      <c r="N13" s="25">
        <f t="shared" si="0"/>
        <v>0</v>
      </c>
      <c r="O13" s="25"/>
      <c r="P13" s="25"/>
      <c r="Q13" s="25"/>
      <c r="R13" s="25"/>
      <c r="S13" s="25"/>
      <c r="T13" s="25"/>
      <c r="U13" s="25"/>
      <c r="V13" s="25"/>
      <c r="W13" s="25"/>
      <c r="X13" s="25"/>
      <c r="Y13" s="25"/>
      <c r="Z13" s="25"/>
      <c r="AA13" s="25"/>
      <c r="AB13" s="25"/>
      <c r="AC13" s="25"/>
      <c r="AD13" s="25"/>
      <c r="AE13" s="25"/>
      <c r="AF13" s="25"/>
      <c r="AG13" s="25"/>
      <c r="AH13" s="67"/>
      <c r="AI13" s="67"/>
      <c r="AJ13" s="67"/>
      <c r="AK13" s="67"/>
      <c r="AL13" s="67"/>
      <c r="AM13" s="67"/>
      <c r="AN13" s="67"/>
      <c r="AO13" s="67"/>
      <c r="AP13" s="67"/>
      <c r="AQ13" s="67"/>
      <c r="AR13" s="67"/>
      <c r="AS13" s="67"/>
      <c r="AT13" s="67"/>
      <c r="AU13" s="67"/>
      <c r="AV13" s="67"/>
      <c r="AW13" s="67"/>
      <c r="AX13" s="67"/>
    </row>
    <row r="14" spans="1:68">
      <c r="A14" s="25">
        <f t="shared" ref="A14:N14" si="1" xml:space="preserve"> A5/24</f>
        <v>0</v>
      </c>
      <c r="B14" s="25">
        <f t="shared" si="1"/>
        <v>0</v>
      </c>
      <c r="C14" s="25">
        <f t="shared" si="1"/>
        <v>0</v>
      </c>
      <c r="D14" s="25">
        <f t="shared" si="1"/>
        <v>0</v>
      </c>
      <c r="E14" s="25">
        <f t="shared" si="1"/>
        <v>0</v>
      </c>
      <c r="F14" s="25">
        <f t="shared" si="1"/>
        <v>0</v>
      </c>
      <c r="G14" s="25">
        <f t="shared" si="1"/>
        <v>0</v>
      </c>
      <c r="H14" s="25">
        <f t="shared" si="1"/>
        <v>0</v>
      </c>
      <c r="I14" s="25">
        <f t="shared" si="1"/>
        <v>0</v>
      </c>
      <c r="J14" s="25">
        <f t="shared" si="1"/>
        <v>0</v>
      </c>
      <c r="K14" s="25">
        <f t="shared" si="1"/>
        <v>0</v>
      </c>
      <c r="L14" s="25">
        <f t="shared" si="1"/>
        <v>0</v>
      </c>
      <c r="M14" s="25">
        <f t="shared" si="1"/>
        <v>0</v>
      </c>
      <c r="N14" s="25">
        <f t="shared" si="1"/>
        <v>0</v>
      </c>
      <c r="O14" s="25"/>
      <c r="P14" s="25"/>
      <c r="Q14" s="25"/>
      <c r="R14" s="25"/>
      <c r="S14" s="25"/>
      <c r="T14" s="25"/>
      <c r="U14" s="25"/>
      <c r="V14" s="25"/>
      <c r="W14" s="25"/>
      <c r="X14" s="25"/>
      <c r="Y14" s="25"/>
      <c r="Z14" s="25"/>
      <c r="AA14" s="25"/>
      <c r="AB14" s="25"/>
      <c r="AC14" s="25"/>
      <c r="AD14" s="25"/>
      <c r="AE14" s="25"/>
      <c r="AF14" s="25"/>
      <c r="AG14" s="25"/>
      <c r="AH14" s="67"/>
      <c r="AI14" s="67"/>
      <c r="AJ14" s="67"/>
      <c r="AK14" s="67"/>
      <c r="AL14" s="67"/>
      <c r="AM14" s="67"/>
      <c r="AN14" s="67"/>
      <c r="AO14" s="67"/>
      <c r="AP14" s="67"/>
      <c r="AQ14" s="67"/>
      <c r="AR14" s="67"/>
      <c r="AS14" s="67"/>
      <c r="AT14" s="67"/>
      <c r="AU14" s="67"/>
      <c r="AV14" s="67"/>
      <c r="AW14" s="67"/>
      <c r="AX14" s="67"/>
    </row>
    <row r="15" spans="1:68">
      <c r="A15" s="25">
        <f t="shared" ref="A15:N15" si="2" xml:space="preserve"> A6/24</f>
        <v>0</v>
      </c>
      <c r="B15" s="25">
        <f t="shared" si="2"/>
        <v>0</v>
      </c>
      <c r="C15" s="25">
        <f t="shared" si="2"/>
        <v>0</v>
      </c>
      <c r="D15" s="25">
        <f t="shared" si="2"/>
        <v>0</v>
      </c>
      <c r="E15" s="25">
        <f t="shared" si="2"/>
        <v>0</v>
      </c>
      <c r="F15" s="25">
        <f t="shared" si="2"/>
        <v>0</v>
      </c>
      <c r="G15" s="25">
        <f t="shared" si="2"/>
        <v>0</v>
      </c>
      <c r="H15" s="25">
        <f t="shared" si="2"/>
        <v>0</v>
      </c>
      <c r="I15" s="25">
        <f t="shared" si="2"/>
        <v>0</v>
      </c>
      <c r="J15" s="25">
        <f t="shared" si="2"/>
        <v>0</v>
      </c>
      <c r="K15" s="25">
        <f t="shared" si="2"/>
        <v>0</v>
      </c>
      <c r="L15" s="25">
        <f t="shared" si="2"/>
        <v>0</v>
      </c>
      <c r="M15" s="25">
        <f t="shared" si="2"/>
        <v>0</v>
      </c>
      <c r="N15" s="25">
        <f t="shared" si="2"/>
        <v>0</v>
      </c>
      <c r="O15" s="25"/>
      <c r="P15" s="25"/>
      <c r="Q15" s="25"/>
      <c r="R15" s="25"/>
      <c r="S15" s="25"/>
      <c r="T15" s="25"/>
      <c r="U15" s="25"/>
      <c r="V15" s="25"/>
      <c r="W15" s="25"/>
      <c r="X15" s="25"/>
      <c r="Y15" s="25"/>
      <c r="Z15" s="25"/>
      <c r="AA15" s="25"/>
      <c r="AB15" s="25"/>
      <c r="AC15" s="25"/>
      <c r="AD15" s="25"/>
      <c r="AE15" s="25"/>
      <c r="AF15" s="25"/>
      <c r="AG15" s="25"/>
      <c r="AH15" s="67"/>
      <c r="AI15" s="67"/>
      <c r="AJ15" s="67"/>
      <c r="AK15" s="67"/>
      <c r="AL15" s="67"/>
      <c r="AM15" s="67"/>
      <c r="AN15" s="67"/>
      <c r="AO15" s="67"/>
      <c r="AP15" s="67"/>
      <c r="AQ15" s="67"/>
      <c r="AR15" s="67"/>
      <c r="AS15" s="67"/>
      <c r="AT15" s="67"/>
      <c r="AU15" s="67"/>
      <c r="AV15" s="67"/>
      <c r="AW15" s="67"/>
      <c r="AX15" s="67"/>
    </row>
    <row r="16" spans="1:68">
      <c r="A16" s="25">
        <f t="shared" ref="A16:N16" si="3" xml:space="preserve"> A7/24</f>
        <v>0</v>
      </c>
      <c r="B16" s="25">
        <f t="shared" si="3"/>
        <v>0</v>
      </c>
      <c r="C16" s="25">
        <f t="shared" si="3"/>
        <v>0</v>
      </c>
      <c r="D16" s="25">
        <f t="shared" si="3"/>
        <v>0</v>
      </c>
      <c r="E16" s="25">
        <f t="shared" si="3"/>
        <v>0</v>
      </c>
      <c r="F16" s="25">
        <f t="shared" si="3"/>
        <v>0</v>
      </c>
      <c r="G16" s="25">
        <f t="shared" si="3"/>
        <v>0</v>
      </c>
      <c r="H16" s="25">
        <f t="shared" si="3"/>
        <v>0</v>
      </c>
      <c r="I16" s="25">
        <f t="shared" si="3"/>
        <v>0</v>
      </c>
      <c r="J16" s="25">
        <f t="shared" si="3"/>
        <v>0</v>
      </c>
      <c r="K16" s="25">
        <f t="shared" si="3"/>
        <v>0</v>
      </c>
      <c r="L16" s="25">
        <f t="shared" si="3"/>
        <v>0</v>
      </c>
      <c r="M16" s="25">
        <f t="shared" si="3"/>
        <v>0</v>
      </c>
      <c r="N16" s="25">
        <f t="shared" si="3"/>
        <v>0</v>
      </c>
      <c r="O16" s="25"/>
      <c r="P16" s="25"/>
      <c r="Q16" s="25"/>
      <c r="R16" s="25"/>
      <c r="S16" s="25"/>
      <c r="T16" s="25"/>
      <c r="U16" s="25"/>
      <c r="V16" s="25"/>
      <c r="W16" s="25"/>
      <c r="X16" s="25"/>
      <c r="Y16" s="25"/>
      <c r="Z16" s="25"/>
      <c r="AA16" s="25"/>
      <c r="AB16" s="25"/>
      <c r="AC16" s="25"/>
      <c r="AD16" s="25"/>
      <c r="AE16" s="25"/>
      <c r="AF16" s="25"/>
      <c r="AG16" s="25"/>
      <c r="AH16" s="67"/>
      <c r="AI16" s="67"/>
      <c r="AJ16" s="67"/>
      <c r="AK16" s="67"/>
      <c r="AL16" s="67"/>
      <c r="AM16" s="67"/>
      <c r="AN16" s="67"/>
      <c r="AO16" s="67"/>
      <c r="AP16" s="67"/>
      <c r="AQ16" s="67"/>
      <c r="AR16" s="67"/>
      <c r="AS16" s="67"/>
      <c r="AT16" s="67"/>
      <c r="AU16" s="67"/>
      <c r="AV16" s="67"/>
      <c r="AW16" s="67"/>
      <c r="AX16" s="67"/>
      <c r="AZ16" s="67"/>
      <c r="BA16" s="67"/>
      <c r="BB16" s="67"/>
      <c r="BC16" s="67"/>
      <c r="BD16" s="67"/>
      <c r="BE16" s="67"/>
      <c r="BF16" s="67"/>
      <c r="BG16" s="67"/>
      <c r="BH16" s="67"/>
      <c r="BI16" s="67"/>
      <c r="BJ16" s="67"/>
      <c r="BK16" s="67"/>
      <c r="BL16" s="67"/>
      <c r="BM16" s="67"/>
      <c r="BN16" s="67"/>
      <c r="BO16" s="67"/>
      <c r="BP16" s="67"/>
    </row>
    <row r="17" spans="1:68">
      <c r="A17" s="25">
        <f t="shared" ref="A17:N17" si="4" xml:space="preserve"> A8/24</f>
        <v>0</v>
      </c>
      <c r="B17" s="25">
        <f t="shared" si="4"/>
        <v>0</v>
      </c>
      <c r="C17" s="25">
        <f t="shared" si="4"/>
        <v>0</v>
      </c>
      <c r="D17" s="25">
        <f t="shared" si="4"/>
        <v>0</v>
      </c>
      <c r="E17" s="25">
        <f t="shared" si="4"/>
        <v>0</v>
      </c>
      <c r="F17" s="25">
        <f t="shared" si="4"/>
        <v>0</v>
      </c>
      <c r="G17" s="25">
        <f t="shared" si="4"/>
        <v>0</v>
      </c>
      <c r="H17" s="25">
        <f t="shared" si="4"/>
        <v>0</v>
      </c>
      <c r="I17" s="25">
        <f t="shared" si="4"/>
        <v>0</v>
      </c>
      <c r="J17" s="25">
        <f t="shared" si="4"/>
        <v>0</v>
      </c>
      <c r="K17" s="25">
        <f t="shared" si="4"/>
        <v>0</v>
      </c>
      <c r="L17" s="25">
        <f t="shared" si="4"/>
        <v>0</v>
      </c>
      <c r="M17" s="25">
        <f t="shared" si="4"/>
        <v>0</v>
      </c>
      <c r="N17" s="25">
        <f t="shared" si="4"/>
        <v>0</v>
      </c>
      <c r="O17" s="25"/>
      <c r="P17" s="25"/>
      <c r="Q17" s="25"/>
      <c r="R17" s="25"/>
      <c r="S17" s="25"/>
      <c r="T17" s="25"/>
      <c r="U17" s="25"/>
      <c r="V17" s="25"/>
      <c r="W17" s="25"/>
      <c r="X17" s="25"/>
      <c r="Y17" s="25"/>
      <c r="Z17" s="25"/>
      <c r="AA17" s="25"/>
      <c r="AB17" s="25"/>
      <c r="AC17" s="25"/>
      <c r="AD17" s="25"/>
      <c r="AE17" s="25"/>
      <c r="AF17" s="25"/>
      <c r="AG17" s="25"/>
      <c r="AH17" s="67"/>
      <c r="AI17" s="67"/>
      <c r="AJ17" s="67"/>
      <c r="AK17" s="67"/>
      <c r="AL17" s="67"/>
      <c r="AM17" s="67"/>
      <c r="AN17" s="67"/>
      <c r="AO17" s="67"/>
      <c r="AP17" s="67"/>
      <c r="AQ17" s="67"/>
      <c r="AR17" s="67"/>
      <c r="AS17" s="67"/>
      <c r="AT17" s="67"/>
      <c r="AU17" s="67"/>
      <c r="AV17" s="67"/>
      <c r="AW17" s="67"/>
      <c r="AX17" s="67"/>
      <c r="AZ17" s="67"/>
      <c r="BA17" s="67"/>
      <c r="BB17" s="67"/>
      <c r="BC17" s="67"/>
      <c r="BD17" s="67"/>
      <c r="BE17" s="67"/>
      <c r="BF17" s="67"/>
      <c r="BG17" s="67"/>
      <c r="BH17" s="67"/>
      <c r="BI17" s="67"/>
      <c r="BJ17" s="67"/>
      <c r="BK17" s="67"/>
      <c r="BL17" s="67"/>
      <c r="BM17" s="67"/>
      <c r="BN17" s="67"/>
      <c r="BO17" s="67"/>
      <c r="BP17" s="67"/>
    </row>
    <row r="18" spans="1:68">
      <c r="AZ18" s="67"/>
      <c r="BA18" s="67"/>
      <c r="BB18" s="67"/>
      <c r="BC18" s="67"/>
      <c r="BD18" s="67"/>
      <c r="BE18" s="67"/>
      <c r="BF18" s="67"/>
      <c r="BG18" s="67"/>
      <c r="BH18" s="67"/>
      <c r="BI18" s="67"/>
      <c r="BJ18" s="67"/>
      <c r="BK18" s="67"/>
      <c r="BL18" s="67"/>
      <c r="BM18" s="67"/>
      <c r="BN18" s="67"/>
      <c r="BO18" s="67"/>
      <c r="BP18" s="67"/>
    </row>
    <row r="19" spans="1:68">
      <c r="AZ19" s="67"/>
      <c r="BA19" s="67"/>
      <c r="BB19" s="67"/>
      <c r="BC19" s="67"/>
      <c r="BD19" s="67"/>
      <c r="BE19" s="67"/>
      <c r="BF19" s="67"/>
      <c r="BG19" s="67"/>
      <c r="BH19" s="67"/>
      <c r="BI19" s="67"/>
      <c r="BJ19" s="67"/>
      <c r="BK19" s="67"/>
      <c r="BL19" s="67"/>
      <c r="BM19" s="67"/>
      <c r="BN19" s="67"/>
      <c r="BO19" s="67"/>
      <c r="BP19" s="67"/>
    </row>
    <row r="20" spans="1:68" ht="51.75">
      <c r="A20" s="187" t="s">
        <v>681</v>
      </c>
      <c r="B20" s="187" t="s">
        <v>682</v>
      </c>
      <c r="C20" s="187" t="s">
        <v>683</v>
      </c>
      <c r="D20" s="187" t="s">
        <v>684</v>
      </c>
      <c r="E20" s="187" t="s">
        <v>685</v>
      </c>
      <c r="F20" s="187" t="s">
        <v>686</v>
      </c>
      <c r="G20" s="187" t="s">
        <v>687</v>
      </c>
      <c r="H20" s="187" t="s">
        <v>688</v>
      </c>
      <c r="I20" s="187" t="s">
        <v>689</v>
      </c>
      <c r="J20" s="187" t="s">
        <v>690</v>
      </c>
      <c r="K20" s="188" t="s">
        <v>691</v>
      </c>
      <c r="L20" s="187" t="s">
        <v>692</v>
      </c>
      <c r="M20" s="187" t="s">
        <v>705</v>
      </c>
      <c r="N20" s="187" t="s">
        <v>693</v>
      </c>
      <c r="O20" s="187" t="s">
        <v>694</v>
      </c>
      <c r="P20" s="187" t="s">
        <v>695</v>
      </c>
      <c r="Q20" s="187" t="s">
        <v>696</v>
      </c>
      <c r="R20" s="187" t="s">
        <v>697</v>
      </c>
      <c r="S20" s="187" t="s">
        <v>698</v>
      </c>
      <c r="T20" s="187" t="s">
        <v>699</v>
      </c>
      <c r="U20" s="187" t="s">
        <v>700</v>
      </c>
      <c r="V20" s="187" t="s">
        <v>701</v>
      </c>
      <c r="AZ20" s="67"/>
      <c r="BA20" s="67"/>
      <c r="BB20" s="67"/>
      <c r="BC20" s="67"/>
      <c r="BD20" s="67"/>
      <c r="BE20" s="67"/>
      <c r="BF20" s="67"/>
      <c r="BG20" s="67"/>
      <c r="BH20" s="67"/>
      <c r="BI20" s="67"/>
      <c r="BJ20" s="67"/>
      <c r="BK20" s="67"/>
      <c r="BL20" s="67"/>
      <c r="BM20" s="67"/>
      <c r="BN20" s="67"/>
      <c r="BO20" s="67"/>
      <c r="BP20" s="67"/>
    </row>
    <row r="21" spans="1:68">
      <c r="A21">
        <f>Archive1!O4</f>
        <v>0</v>
      </c>
      <c r="B21">
        <f>Archive1!P4</f>
        <v>0</v>
      </c>
      <c r="C21">
        <f>Archive1!Q4</f>
        <v>0</v>
      </c>
      <c r="D21">
        <f>Archive1!R4</f>
        <v>0</v>
      </c>
      <c r="E21">
        <f>Archive1!S4</f>
        <v>0</v>
      </c>
      <c r="F21">
        <f>Archive1!T4</f>
        <v>0</v>
      </c>
      <c r="G21">
        <f>Archive1!U4</f>
        <v>0</v>
      </c>
      <c r="H21">
        <f>Archive1!V4</f>
        <v>0</v>
      </c>
      <c r="I21">
        <f>Archive1!W4</f>
        <v>0</v>
      </c>
      <c r="J21">
        <f>Archive1!X4</f>
        <v>0</v>
      </c>
      <c r="K21">
        <f>Archive1!Y4</f>
        <v>0</v>
      </c>
      <c r="L21">
        <f>Archive1!Z4</f>
        <v>0</v>
      </c>
      <c r="M21">
        <f>Archive1!AA4</f>
        <v>0</v>
      </c>
      <c r="N21">
        <f>Archive1!AB4</f>
        <v>0</v>
      </c>
      <c r="O21">
        <f>Archive1!AC4</f>
        <v>0</v>
      </c>
      <c r="P21">
        <f>Archive1!AD4</f>
        <v>0</v>
      </c>
      <c r="Q21">
        <f>Archive1!AE4</f>
        <v>0</v>
      </c>
      <c r="R21">
        <f>Archive1!AF4</f>
        <v>0</v>
      </c>
      <c r="S21">
        <f>Archive1!AG4</f>
        <v>0</v>
      </c>
      <c r="T21">
        <f>Archive1!AH4</f>
        <v>0</v>
      </c>
      <c r="U21">
        <f>Archive1!AI4</f>
        <v>0</v>
      </c>
      <c r="V21">
        <f>Archive1!AJ4</f>
        <v>0</v>
      </c>
      <c r="AZ21" s="67"/>
      <c r="BA21" s="67"/>
      <c r="BB21" s="67"/>
      <c r="BC21" s="67"/>
      <c r="BD21" s="67"/>
      <c r="BE21" s="67"/>
      <c r="BF21" s="67"/>
      <c r="BG21" s="67"/>
      <c r="BH21" s="67"/>
      <c r="BI21" s="67"/>
      <c r="BJ21" s="67"/>
      <c r="BK21" s="67"/>
      <c r="BL21" s="67"/>
      <c r="BM21" s="67"/>
      <c r="BN21" s="67"/>
      <c r="BO21" s="67"/>
      <c r="BP21" s="67"/>
    </row>
    <row r="22" spans="1:68">
      <c r="A22">
        <f>Archive1!O5</f>
        <v>0</v>
      </c>
      <c r="B22">
        <f>Archive1!P5</f>
        <v>0</v>
      </c>
      <c r="C22">
        <f>Archive1!Q5</f>
        <v>0</v>
      </c>
      <c r="D22">
        <f>Archive1!R5</f>
        <v>0</v>
      </c>
      <c r="E22">
        <f>Archive1!S5</f>
        <v>0</v>
      </c>
      <c r="F22">
        <f>Archive1!T5</f>
        <v>0</v>
      </c>
      <c r="G22">
        <f>Archive1!U5</f>
        <v>0</v>
      </c>
      <c r="H22">
        <f>Archive1!V5</f>
        <v>0</v>
      </c>
      <c r="I22">
        <f>Archive1!W5</f>
        <v>0</v>
      </c>
      <c r="J22">
        <f>Archive1!X5</f>
        <v>0</v>
      </c>
      <c r="K22">
        <f>Archive1!Y5</f>
        <v>0</v>
      </c>
      <c r="L22">
        <f>Archive1!Z5</f>
        <v>0</v>
      </c>
      <c r="M22">
        <f>Archive1!AA5</f>
        <v>0</v>
      </c>
      <c r="N22">
        <f>Archive1!AB5</f>
        <v>0</v>
      </c>
      <c r="O22">
        <f>Archive1!AC5</f>
        <v>0</v>
      </c>
      <c r="P22">
        <f>Archive1!AD5</f>
        <v>0</v>
      </c>
      <c r="Q22">
        <f>Archive1!AE5</f>
        <v>0</v>
      </c>
      <c r="R22">
        <f>Archive1!AF5</f>
        <v>0</v>
      </c>
      <c r="S22">
        <f>Archive1!AG5</f>
        <v>0</v>
      </c>
      <c r="T22">
        <f>Archive1!AH5</f>
        <v>0</v>
      </c>
      <c r="U22">
        <f>Archive1!AI5</f>
        <v>0</v>
      </c>
      <c r="V22">
        <f>Archive1!AJ5</f>
        <v>0</v>
      </c>
      <c r="AZ22" s="67"/>
      <c r="BA22" s="67"/>
      <c r="BB22" s="67"/>
      <c r="BC22" s="67"/>
      <c r="BD22" s="67"/>
      <c r="BE22" s="67"/>
      <c r="BF22" s="67"/>
      <c r="BG22" s="67"/>
      <c r="BH22" s="67"/>
      <c r="BI22" s="67"/>
      <c r="BJ22" s="67"/>
      <c r="BK22" s="67"/>
      <c r="BL22" s="67"/>
      <c r="BM22" s="67"/>
      <c r="BN22" s="67"/>
      <c r="BO22" s="67"/>
      <c r="BP22" s="67"/>
    </row>
    <row r="23" spans="1:68">
      <c r="A23">
        <f>Archive2!O4</f>
        <v>0</v>
      </c>
      <c r="B23">
        <f>Archive2!P4</f>
        <v>0</v>
      </c>
      <c r="C23">
        <f>Archive2!Q4</f>
        <v>0</v>
      </c>
      <c r="D23">
        <f>Archive2!R4</f>
        <v>0</v>
      </c>
      <c r="E23">
        <f>Archive2!S4</f>
        <v>0</v>
      </c>
      <c r="F23">
        <f>Archive2!T4</f>
        <v>0</v>
      </c>
      <c r="G23">
        <f>Archive2!U4</f>
        <v>0</v>
      </c>
      <c r="H23">
        <f>Archive2!V4</f>
        <v>0</v>
      </c>
      <c r="I23">
        <f>Archive2!W4</f>
        <v>0</v>
      </c>
      <c r="J23">
        <f>Archive2!X4</f>
        <v>0</v>
      </c>
      <c r="K23">
        <f>Archive2!Y4</f>
        <v>0</v>
      </c>
      <c r="L23">
        <f>Archive2!Z4</f>
        <v>0</v>
      </c>
      <c r="M23">
        <f>Archive2!AA4</f>
        <v>0</v>
      </c>
      <c r="N23">
        <f>Archive2!AB4</f>
        <v>0</v>
      </c>
      <c r="O23">
        <f>Archive2!AC4</f>
        <v>0</v>
      </c>
      <c r="P23">
        <f>Archive2!AD4</f>
        <v>0</v>
      </c>
      <c r="Q23">
        <f>Archive2!AE4</f>
        <v>0</v>
      </c>
      <c r="R23">
        <f>Archive2!AF4</f>
        <v>0</v>
      </c>
      <c r="S23">
        <f>Archive2!AG4</f>
        <v>0</v>
      </c>
      <c r="T23">
        <f>Archive2!AH4</f>
        <v>0</v>
      </c>
      <c r="U23">
        <f>Archive2!AI4</f>
        <v>0</v>
      </c>
      <c r="V23">
        <f>Archive2!AJ4</f>
        <v>0</v>
      </c>
      <c r="AZ23" s="67"/>
      <c r="BA23" s="67"/>
      <c r="BB23" s="67"/>
      <c r="BC23" s="67"/>
      <c r="BD23" s="67"/>
      <c r="BE23" s="67"/>
      <c r="BF23" s="67"/>
      <c r="BG23" s="67"/>
      <c r="BH23" s="67"/>
      <c r="BI23" s="67"/>
      <c r="BJ23" s="67"/>
      <c r="BK23" s="67"/>
      <c r="BL23" s="67"/>
      <c r="BM23" s="67"/>
      <c r="BN23" s="67"/>
      <c r="BO23" s="67"/>
      <c r="BP23" s="67"/>
    </row>
    <row r="24" spans="1:68">
      <c r="A24">
        <f>Archive2!O5</f>
        <v>0</v>
      </c>
      <c r="B24">
        <f>Archive2!P5</f>
        <v>0</v>
      </c>
      <c r="C24">
        <f>Archive2!Q5</f>
        <v>0</v>
      </c>
      <c r="D24">
        <f>Archive2!R5</f>
        <v>0</v>
      </c>
      <c r="E24">
        <f>Archive2!S5</f>
        <v>0</v>
      </c>
      <c r="F24">
        <f>Archive2!T5</f>
        <v>0</v>
      </c>
      <c r="G24">
        <f>Archive2!U5</f>
        <v>0</v>
      </c>
      <c r="H24">
        <f>Archive2!V5</f>
        <v>0</v>
      </c>
      <c r="I24">
        <f>Archive2!W5</f>
        <v>0</v>
      </c>
      <c r="J24">
        <f>Archive2!X5</f>
        <v>0</v>
      </c>
      <c r="K24">
        <f>Archive2!Y5</f>
        <v>0</v>
      </c>
      <c r="L24">
        <f>Archive2!Z5</f>
        <v>0</v>
      </c>
      <c r="M24">
        <f>Archive2!AA5</f>
        <v>0</v>
      </c>
      <c r="N24">
        <f>Archive2!AB5</f>
        <v>0</v>
      </c>
      <c r="O24">
        <f>Archive2!AC5</f>
        <v>0</v>
      </c>
      <c r="P24">
        <f>Archive2!AD5</f>
        <v>0</v>
      </c>
      <c r="Q24">
        <f>Archive2!AE5</f>
        <v>0</v>
      </c>
      <c r="R24">
        <f>Archive2!AF5</f>
        <v>0</v>
      </c>
      <c r="S24">
        <f>Archive2!AG5</f>
        <v>0</v>
      </c>
      <c r="T24">
        <f>Archive2!AH5</f>
        <v>0</v>
      </c>
      <c r="U24">
        <f>Archive2!AI5</f>
        <v>0</v>
      </c>
      <c r="V24">
        <f>Archive2!AJ5</f>
        <v>0</v>
      </c>
      <c r="AZ24" s="67"/>
      <c r="BA24" s="67"/>
      <c r="BB24" s="67"/>
      <c r="BC24" s="67"/>
      <c r="BD24" s="67"/>
      <c r="BE24" s="67"/>
      <c r="BF24" s="67"/>
      <c r="BG24" s="67"/>
      <c r="BH24" s="67"/>
      <c r="BI24" s="67"/>
      <c r="BJ24" s="67"/>
      <c r="BK24" s="67"/>
      <c r="BL24" s="67"/>
      <c r="BM24" s="67"/>
      <c r="BN24" s="67"/>
      <c r="BO24" s="67"/>
      <c r="BP24" s="67"/>
    </row>
    <row r="25" spans="1:68">
      <c r="A25">
        <f>Archive3!O4</f>
        <v>0</v>
      </c>
      <c r="B25">
        <f>Archive3!P4</f>
        <v>0</v>
      </c>
      <c r="C25">
        <f>Archive3!Q4</f>
        <v>0</v>
      </c>
      <c r="D25">
        <f>Archive3!R4</f>
        <v>0</v>
      </c>
      <c r="E25">
        <f>Archive3!S4</f>
        <v>0</v>
      </c>
      <c r="F25">
        <f>Archive3!T4</f>
        <v>0</v>
      </c>
      <c r="G25">
        <f>Archive3!U4</f>
        <v>0</v>
      </c>
      <c r="H25">
        <f>Archive3!V4</f>
        <v>0</v>
      </c>
      <c r="I25">
        <f>Archive3!W4</f>
        <v>0</v>
      </c>
      <c r="J25">
        <f>Archive3!X4</f>
        <v>0</v>
      </c>
      <c r="K25">
        <f>Archive3!Y4</f>
        <v>0</v>
      </c>
      <c r="L25">
        <f>Archive3!Z4</f>
        <v>0</v>
      </c>
      <c r="M25">
        <f>Archive3!AA4</f>
        <v>0</v>
      </c>
      <c r="N25">
        <f>Archive3!AB4</f>
        <v>0</v>
      </c>
      <c r="O25">
        <f>Archive3!AC4</f>
        <v>0</v>
      </c>
      <c r="P25">
        <f>Archive3!AD4</f>
        <v>0</v>
      </c>
      <c r="Q25">
        <f>Archive3!AE4</f>
        <v>0</v>
      </c>
      <c r="R25">
        <f>Archive3!AF4</f>
        <v>0</v>
      </c>
      <c r="S25">
        <f>Archive3!AG4</f>
        <v>0</v>
      </c>
      <c r="T25">
        <f>Archive3!AH4</f>
        <v>0</v>
      </c>
      <c r="U25">
        <f>Archive3!AI4</f>
        <v>0</v>
      </c>
      <c r="V25">
        <f>Archive3!AJ4</f>
        <v>0</v>
      </c>
      <c r="W25" s="3"/>
      <c r="X25" s="3"/>
      <c r="Y25" s="3"/>
      <c r="Z25" s="3"/>
      <c r="AA25" s="3"/>
      <c r="AZ25" s="67"/>
      <c r="BA25" s="67"/>
      <c r="BB25" s="67"/>
      <c r="BC25" s="67"/>
      <c r="BD25" s="67"/>
      <c r="BE25" s="67"/>
      <c r="BF25" s="67"/>
      <c r="BG25" s="67"/>
      <c r="BH25" s="67"/>
      <c r="BI25" s="67"/>
      <c r="BJ25" s="67"/>
      <c r="BK25" s="67"/>
      <c r="BL25" s="67"/>
      <c r="BM25" s="67"/>
      <c r="BN25" s="67"/>
      <c r="BO25" s="67"/>
      <c r="BP25" s="67"/>
    </row>
    <row r="26" spans="1:68">
      <c r="A26">
        <f>Archive3!O5</f>
        <v>0</v>
      </c>
      <c r="B26">
        <f>Archive3!P5</f>
        <v>0</v>
      </c>
      <c r="C26">
        <f>Archive3!Q5</f>
        <v>0</v>
      </c>
      <c r="D26">
        <f>Archive3!R5</f>
        <v>0</v>
      </c>
      <c r="E26">
        <f>Archive3!S5</f>
        <v>0</v>
      </c>
      <c r="F26">
        <f>Archive3!T5</f>
        <v>0</v>
      </c>
      <c r="G26">
        <f>Archive3!U5</f>
        <v>0</v>
      </c>
      <c r="H26">
        <f>Archive3!V5</f>
        <v>0</v>
      </c>
      <c r="I26">
        <f>Archive3!W5</f>
        <v>0</v>
      </c>
      <c r="J26">
        <f>Archive3!X5</f>
        <v>0</v>
      </c>
      <c r="K26">
        <f>Archive3!Y5</f>
        <v>0</v>
      </c>
      <c r="L26">
        <f>Archive3!Z5</f>
        <v>0</v>
      </c>
      <c r="M26">
        <f>Archive3!AA5</f>
        <v>0</v>
      </c>
      <c r="N26">
        <f>Archive3!AB5</f>
        <v>0</v>
      </c>
      <c r="O26">
        <f>Archive3!AC5</f>
        <v>0</v>
      </c>
      <c r="P26">
        <f>Archive3!AD5</f>
        <v>0</v>
      </c>
      <c r="Q26">
        <f>Archive3!AE5</f>
        <v>0</v>
      </c>
      <c r="R26">
        <f>Archive3!AF5</f>
        <v>0</v>
      </c>
      <c r="S26">
        <f>Archive3!AG5</f>
        <v>0</v>
      </c>
      <c r="T26">
        <f>Archive3!AH5</f>
        <v>0</v>
      </c>
      <c r="U26">
        <f>Archive3!AI5</f>
        <v>0</v>
      </c>
      <c r="V26">
        <f>Archive3!AJ5</f>
        <v>0</v>
      </c>
      <c r="W26" s="3"/>
      <c r="X26" s="3"/>
      <c r="Y26" s="3"/>
      <c r="Z26" s="3"/>
      <c r="AA26" s="3"/>
      <c r="AZ26" s="67"/>
      <c r="BA26" s="67"/>
      <c r="BB26" s="67"/>
      <c r="BC26" s="67"/>
      <c r="BD26" s="67"/>
      <c r="BE26" s="67"/>
      <c r="BF26" s="67"/>
      <c r="BG26" s="67"/>
      <c r="BH26" s="67"/>
      <c r="BI26" s="67"/>
      <c r="BJ26" s="67"/>
      <c r="BK26" s="67"/>
      <c r="BL26" s="67"/>
      <c r="BM26" s="67"/>
      <c r="BN26" s="67"/>
      <c r="BO26" s="67"/>
      <c r="BP26" s="67"/>
    </row>
    <row r="27" spans="1:68">
      <c r="A27">
        <f>Archive4!O4</f>
        <v>0</v>
      </c>
      <c r="B27">
        <f>Archive4!P4</f>
        <v>0</v>
      </c>
      <c r="C27">
        <f>Archive4!Q4</f>
        <v>0</v>
      </c>
      <c r="D27">
        <f>Archive4!R4</f>
        <v>0</v>
      </c>
      <c r="E27">
        <f>Archive4!S4</f>
        <v>0</v>
      </c>
      <c r="F27">
        <f>Archive4!T4</f>
        <v>0</v>
      </c>
      <c r="G27">
        <f>Archive4!U4</f>
        <v>0</v>
      </c>
      <c r="H27">
        <f>Archive4!V4</f>
        <v>0</v>
      </c>
      <c r="I27">
        <f>Archive4!W4</f>
        <v>0</v>
      </c>
      <c r="J27">
        <f>Archive4!X4</f>
        <v>0</v>
      </c>
      <c r="K27">
        <f>Archive4!Y4</f>
        <v>0</v>
      </c>
      <c r="L27">
        <f>Archive4!Z4</f>
        <v>0</v>
      </c>
      <c r="M27">
        <f>Archive4!AA4</f>
        <v>0</v>
      </c>
      <c r="N27">
        <f>Archive4!AB4</f>
        <v>0</v>
      </c>
      <c r="O27">
        <f>Archive4!AC4</f>
        <v>0</v>
      </c>
      <c r="P27">
        <f>Archive4!AD4</f>
        <v>0</v>
      </c>
      <c r="Q27">
        <f>Archive4!AE4</f>
        <v>0</v>
      </c>
      <c r="R27">
        <f>Archive4!AF4</f>
        <v>0</v>
      </c>
      <c r="S27">
        <f>Archive4!AG4</f>
        <v>0</v>
      </c>
      <c r="T27">
        <f>Archive4!AH4</f>
        <v>0</v>
      </c>
      <c r="U27">
        <f>Archive4!AI4</f>
        <v>0</v>
      </c>
      <c r="V27">
        <f>Archive4!AJ4</f>
        <v>0</v>
      </c>
      <c r="AZ27" s="67"/>
      <c r="BA27" s="67"/>
      <c r="BB27" s="67"/>
      <c r="BC27" s="67"/>
      <c r="BD27" s="67"/>
      <c r="BE27" s="67"/>
      <c r="BF27" s="67"/>
      <c r="BG27" s="67"/>
      <c r="BH27" s="67"/>
      <c r="BI27" s="67"/>
      <c r="BJ27" s="67"/>
      <c r="BK27" s="67"/>
      <c r="BL27" s="67"/>
      <c r="BM27" s="67"/>
      <c r="BN27" s="67"/>
      <c r="BO27" s="67"/>
      <c r="BP27" s="67"/>
    </row>
    <row r="28" spans="1:68">
      <c r="A28">
        <f>Archive4!O5</f>
        <v>0</v>
      </c>
      <c r="B28">
        <f>Archive4!P5</f>
        <v>0</v>
      </c>
      <c r="C28">
        <f>Archive4!Q5</f>
        <v>0</v>
      </c>
      <c r="D28">
        <f>Archive4!R5</f>
        <v>0</v>
      </c>
      <c r="E28">
        <f>Archive4!S5</f>
        <v>0</v>
      </c>
      <c r="F28">
        <f>Archive4!T5</f>
        <v>0</v>
      </c>
      <c r="G28">
        <f>Archive4!U5</f>
        <v>0</v>
      </c>
      <c r="H28">
        <f>Archive4!V5</f>
        <v>0</v>
      </c>
      <c r="I28">
        <f>Archive4!W5</f>
        <v>0</v>
      </c>
      <c r="J28">
        <f>Archive4!X5</f>
        <v>0</v>
      </c>
      <c r="K28">
        <f>Archive4!Y5</f>
        <v>0</v>
      </c>
      <c r="L28">
        <f>Archive4!Z5</f>
        <v>0</v>
      </c>
      <c r="M28">
        <f>Archive4!AA5</f>
        <v>0</v>
      </c>
      <c r="N28">
        <f>Archive4!AB5</f>
        <v>0</v>
      </c>
      <c r="O28">
        <f>Archive4!AC5</f>
        <v>0</v>
      </c>
      <c r="P28">
        <f>Archive4!AD5</f>
        <v>0</v>
      </c>
      <c r="Q28">
        <f>Archive4!AE5</f>
        <v>0</v>
      </c>
      <c r="R28">
        <f>Archive4!AF5</f>
        <v>0</v>
      </c>
      <c r="S28">
        <f>Archive4!AG5</f>
        <v>0</v>
      </c>
      <c r="T28">
        <f>Archive4!AH5</f>
        <v>0</v>
      </c>
      <c r="U28">
        <f>Archive4!AI5</f>
        <v>0</v>
      </c>
      <c r="V28">
        <f>Archive4!AJ5</f>
        <v>0</v>
      </c>
      <c r="AZ28" s="67"/>
      <c r="BA28" s="67"/>
      <c r="BB28" s="67"/>
      <c r="BC28" s="67"/>
      <c r="BD28" s="67"/>
      <c r="BE28" s="67"/>
      <c r="BF28" s="67"/>
      <c r="BG28" s="67"/>
      <c r="BH28" s="67"/>
      <c r="BI28" s="67"/>
      <c r="BJ28" s="67"/>
      <c r="BK28" s="67"/>
      <c r="BL28" s="67"/>
      <c r="BM28" s="67"/>
      <c r="BN28" s="67"/>
      <c r="BO28" s="67"/>
      <c r="BP28" s="67"/>
    </row>
    <row r="29" spans="1:68">
      <c r="A29">
        <f>Archive5!O4</f>
        <v>0</v>
      </c>
      <c r="B29">
        <f>Archive5!P4</f>
        <v>0</v>
      </c>
      <c r="C29">
        <f>Archive5!Q4</f>
        <v>0</v>
      </c>
      <c r="D29">
        <f>Archive5!R4</f>
        <v>0</v>
      </c>
      <c r="E29">
        <f>Archive5!S4</f>
        <v>0</v>
      </c>
      <c r="F29">
        <f>Archive5!T4</f>
        <v>0</v>
      </c>
      <c r="G29">
        <f>Archive5!U4</f>
        <v>0</v>
      </c>
      <c r="H29">
        <f>Archive5!V4</f>
        <v>0</v>
      </c>
      <c r="I29">
        <f>Archive5!W4</f>
        <v>0</v>
      </c>
      <c r="J29">
        <f>Archive5!X4</f>
        <v>0</v>
      </c>
      <c r="K29">
        <f>Archive5!Y4</f>
        <v>0</v>
      </c>
      <c r="L29">
        <f>Archive5!Z4</f>
        <v>0</v>
      </c>
      <c r="M29">
        <f>Archive5!AA4</f>
        <v>0</v>
      </c>
      <c r="N29">
        <f>Archive5!AB4</f>
        <v>0</v>
      </c>
      <c r="O29">
        <f>Archive5!AC4</f>
        <v>0</v>
      </c>
      <c r="P29">
        <f>Archive5!AD4</f>
        <v>0</v>
      </c>
      <c r="Q29">
        <f>Archive5!AE4</f>
        <v>0</v>
      </c>
      <c r="R29">
        <f>Archive5!AF4</f>
        <v>0</v>
      </c>
      <c r="S29">
        <f>Archive5!AG4</f>
        <v>0</v>
      </c>
      <c r="T29">
        <f>Archive5!AH4</f>
        <v>0</v>
      </c>
      <c r="U29">
        <f>Archive5!AI4</f>
        <v>0</v>
      </c>
      <c r="V29">
        <f>Archive5!AJ4</f>
        <v>0</v>
      </c>
      <c r="AZ29" s="67"/>
      <c r="BA29" s="67"/>
      <c r="BB29" s="67"/>
      <c r="BC29" s="67"/>
      <c r="BD29" s="67"/>
      <c r="BE29" s="67"/>
      <c r="BF29" s="67"/>
      <c r="BG29" s="67"/>
      <c r="BH29" s="67"/>
      <c r="BI29" s="67"/>
      <c r="BJ29" s="67"/>
      <c r="BK29" s="67"/>
      <c r="BL29" s="67"/>
      <c r="BM29" s="67"/>
      <c r="BN29" s="67"/>
      <c r="BO29" s="67"/>
      <c r="BP29" s="67"/>
    </row>
    <row r="30" spans="1:68">
      <c r="A30">
        <f>Archive5!O5</f>
        <v>0</v>
      </c>
      <c r="B30">
        <f>Archive5!P5</f>
        <v>0</v>
      </c>
      <c r="C30">
        <f>Archive5!Q5</f>
        <v>0</v>
      </c>
      <c r="D30">
        <f>Archive5!R5</f>
        <v>0</v>
      </c>
      <c r="E30">
        <f>Archive5!S5</f>
        <v>0</v>
      </c>
      <c r="F30">
        <f>Archive5!T5</f>
        <v>0</v>
      </c>
      <c r="G30">
        <f>Archive5!U5</f>
        <v>0</v>
      </c>
      <c r="H30">
        <f>Archive5!V5</f>
        <v>0</v>
      </c>
      <c r="I30">
        <f>Archive5!W5</f>
        <v>0</v>
      </c>
      <c r="J30">
        <f>Archive5!X5</f>
        <v>0</v>
      </c>
      <c r="K30">
        <f>Archive5!Y5</f>
        <v>0</v>
      </c>
      <c r="L30">
        <f>Archive5!Z5</f>
        <v>0</v>
      </c>
      <c r="M30">
        <f>Archive5!AA5</f>
        <v>0</v>
      </c>
      <c r="N30">
        <f>Archive5!AB5</f>
        <v>0</v>
      </c>
      <c r="O30">
        <f>Archive5!AC5</f>
        <v>0</v>
      </c>
      <c r="P30">
        <f>Archive5!AD5</f>
        <v>0</v>
      </c>
      <c r="Q30">
        <f>Archive5!AE5</f>
        <v>0</v>
      </c>
      <c r="R30">
        <f>Archive5!AF5</f>
        <v>0</v>
      </c>
      <c r="S30">
        <f>Archive5!AG5</f>
        <v>0</v>
      </c>
      <c r="T30">
        <f>Archive5!AH5</f>
        <v>0</v>
      </c>
      <c r="U30">
        <f>Archive5!AI5</f>
        <v>0</v>
      </c>
      <c r="V30">
        <f>Archive5!AJ5</f>
        <v>0</v>
      </c>
      <c r="W30" s="26"/>
      <c r="X30" s="26"/>
      <c r="Y30" s="26"/>
      <c r="Z30" s="26"/>
      <c r="AA30" s="26"/>
      <c r="AF30" s="26"/>
      <c r="AZ30" s="67"/>
      <c r="BA30" s="67"/>
      <c r="BB30" s="67"/>
      <c r="BC30" s="67"/>
      <c r="BD30" s="67"/>
      <c r="BE30" s="67"/>
      <c r="BF30" s="67"/>
      <c r="BG30" s="67"/>
      <c r="BH30" s="67"/>
      <c r="BI30" s="67"/>
      <c r="BJ30" s="67"/>
      <c r="BK30" s="67"/>
      <c r="BL30" s="67"/>
      <c r="BM30" s="67"/>
      <c r="BN30" s="67"/>
      <c r="BO30" s="67"/>
      <c r="BP30" s="67"/>
    </row>
  </sheetData>
  <phoneticPr fontId="7" type="noConversion"/>
  <pageMargins left="0.78740157499999996" right="0.78740157499999996" top="0.984251969" bottom="0.984251969" header="0.4921259845" footer="0.4921259845"/>
  <pageSetup paperSize="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4"/>
  <dimension ref="A1:AS106"/>
  <sheetViews>
    <sheetView topLeftCell="A10" zoomScale="90" zoomScaleNormal="90" zoomScalePageLayoutView="90" workbookViewId="0">
      <selection activeCell="F52" sqref="F52"/>
    </sheetView>
  </sheetViews>
  <sheetFormatPr baseColWidth="10" defaultRowHeight="12.75"/>
  <cols>
    <col min="1" max="1" width="13.28515625" customWidth="1"/>
    <col min="3" max="3" width="24.140625" customWidth="1"/>
    <col min="4" max="4" width="16.85546875" customWidth="1"/>
    <col min="6" max="6" width="18.85546875" customWidth="1"/>
    <col min="7" max="7" width="23.28515625" customWidth="1"/>
    <col min="42" max="42" width="10.85546875" style="9"/>
    <col min="45" max="45" width="13" customWidth="1"/>
    <col min="49" max="49" width="14.28515625" customWidth="1"/>
    <col min="52" max="52" width="14.28515625" customWidth="1"/>
  </cols>
  <sheetData>
    <row r="1" spans="1:45">
      <c r="A1" t="s">
        <v>106</v>
      </c>
      <c r="B1" t="s">
        <v>332</v>
      </c>
      <c r="C1" t="s">
        <v>333</v>
      </c>
      <c r="D1" t="s">
        <v>300</v>
      </c>
      <c r="E1" t="s">
        <v>334</v>
      </c>
      <c r="F1" t="s">
        <v>335</v>
      </c>
      <c r="G1" t="s">
        <v>337</v>
      </c>
      <c r="H1" t="s">
        <v>336</v>
      </c>
      <c r="I1" t="s">
        <v>338</v>
      </c>
      <c r="J1" t="s">
        <v>339</v>
      </c>
      <c r="K1" t="s">
        <v>340</v>
      </c>
      <c r="L1" t="s">
        <v>341</v>
      </c>
    </row>
    <row r="2" spans="1:45">
      <c r="A2" s="3">
        <v>1</v>
      </c>
      <c r="C2">
        <f>DAY(Accueil!B13)</f>
        <v>0</v>
      </c>
      <c r="D2">
        <f>MONTH(Accueil!B13)</f>
        <v>1</v>
      </c>
      <c r="E2">
        <f>YEAR(Accueil!B13)</f>
        <v>1900</v>
      </c>
      <c r="O2" s="3"/>
      <c r="P2" s="3"/>
      <c r="Q2" s="3"/>
      <c r="R2" s="3"/>
      <c r="S2" s="3"/>
      <c r="T2" s="3"/>
      <c r="U2" s="3"/>
      <c r="V2" s="3"/>
      <c r="W2" s="3"/>
      <c r="X2" s="3"/>
      <c r="Y2" s="193"/>
      <c r="Z2" s="3"/>
      <c r="AA2" s="3"/>
      <c r="AB2" s="3"/>
      <c r="AC2" s="3"/>
      <c r="AD2" s="3"/>
      <c r="AE2" s="3"/>
      <c r="AF2" s="3"/>
      <c r="AG2" s="3"/>
      <c r="AH2" s="3"/>
      <c r="AI2" s="3"/>
      <c r="AJ2" s="3"/>
    </row>
    <row r="3" spans="1:45">
      <c r="A3" s="3"/>
      <c r="C3" s="17"/>
      <c r="E3">
        <f>1939+E2</f>
        <v>3839</v>
      </c>
      <c r="K3" s="79" t="str">
        <f>IF($J$3=1,(L3-R12)*Accueil!$G$3*Accueil!$G$3/10,"")</f>
        <v/>
      </c>
      <c r="L3" s="3">
        <v>140</v>
      </c>
      <c r="M3" s="3" t="s">
        <v>568</v>
      </c>
      <c r="P3" s="79"/>
      <c r="AK3" s="3"/>
    </row>
    <row r="4" spans="1:45">
      <c r="B4" t="s">
        <v>457</v>
      </c>
      <c r="C4" t="s">
        <v>458</v>
      </c>
      <c r="D4" t="s">
        <v>459</v>
      </c>
      <c r="E4" t="s">
        <v>349</v>
      </c>
      <c r="F4" t="s">
        <v>412</v>
      </c>
      <c r="K4" s="79" t="str">
        <f>IF($J$3=1,(L4-R12)*Accueil!$G$3*Accueil!$G$3/10,"")</f>
        <v/>
      </c>
      <c r="L4" s="3">
        <v>140</v>
      </c>
      <c r="M4" s="3" t="s">
        <v>569</v>
      </c>
      <c r="AK4" s="3"/>
    </row>
    <row r="5" spans="1:45">
      <c r="E5">
        <v>0</v>
      </c>
      <c r="F5" s="23"/>
      <c r="G5" s="23"/>
      <c r="K5" s="79" t="str">
        <f>IF($J$3=1,(L5-R12)*Accueil!$G$3*Accueil!$G$3/10,"")</f>
        <v/>
      </c>
      <c r="L5" s="3">
        <v>140</v>
      </c>
      <c r="M5" s="3" t="s">
        <v>570</v>
      </c>
    </row>
    <row r="6" spans="1:45">
      <c r="E6" s="3" t="s">
        <v>789</v>
      </c>
    </row>
    <row r="7" spans="1:45">
      <c r="A7" t="s">
        <v>342</v>
      </c>
      <c r="C7" t="s">
        <v>343</v>
      </c>
    </row>
    <row r="9" spans="1:45">
      <c r="R9" s="248"/>
      <c r="S9" s="248"/>
      <c r="T9" s="248"/>
      <c r="U9" s="249" t="s">
        <v>728</v>
      </c>
    </row>
    <row r="10" spans="1:45">
      <c r="A10" t="s">
        <v>344</v>
      </c>
      <c r="B10" t="s">
        <v>348</v>
      </c>
      <c r="C10" t="s">
        <v>343</v>
      </c>
      <c r="D10" t="s">
        <v>345</v>
      </c>
      <c r="E10" t="s">
        <v>348</v>
      </c>
      <c r="F10" t="s">
        <v>343</v>
      </c>
      <c r="G10" t="s">
        <v>346</v>
      </c>
      <c r="H10" t="s">
        <v>348</v>
      </c>
      <c r="I10" t="s">
        <v>343</v>
      </c>
      <c r="R10" s="249" t="s">
        <v>729</v>
      </c>
      <c r="S10" s="248"/>
      <c r="T10" s="248"/>
      <c r="U10" s="250">
        <f ca="1">(TODAY()-Accueil!B13)/365</f>
        <v>124.21095890410959</v>
      </c>
    </row>
    <row r="11" spans="1:45">
      <c r="R11" s="249" t="s">
        <v>165</v>
      </c>
      <c r="S11" s="248"/>
      <c r="T11" s="248"/>
      <c r="U11" s="249">
        <f ca="1">U10/10</f>
        <v>12.421095890410959</v>
      </c>
    </row>
    <row r="12" spans="1:45">
      <c r="R12" s="248">
        <f ca="1">IF(U10&lt;15,(S12/2.1*U11)*100,0)</f>
        <v>0</v>
      </c>
      <c r="S12" s="248">
        <f ca="1">COS(U11)</f>
        <v>0.98946617300150497</v>
      </c>
      <c r="T12" s="248"/>
      <c r="U12" s="249"/>
      <c r="AJ12" s="1"/>
    </row>
    <row r="13" spans="1:45">
      <c r="A13" t="s">
        <v>347</v>
      </c>
      <c r="C13" t="s">
        <v>348</v>
      </c>
      <c r="U13" s="3"/>
      <c r="AJ13" s="1"/>
    </row>
    <row r="14" spans="1:45">
      <c r="AJ14" s="1"/>
    </row>
    <row r="15" spans="1:45" ht="15">
      <c r="A15" s="69" t="s">
        <v>599</v>
      </c>
      <c r="D15" s="69" t="s">
        <v>600</v>
      </c>
      <c r="G15" s="69" t="s">
        <v>485</v>
      </c>
      <c r="N15" s="3" t="s">
        <v>650</v>
      </c>
      <c r="P15" s="3" t="s">
        <v>651</v>
      </c>
      <c r="S15" s="3"/>
      <c r="T15" s="3"/>
      <c r="AM15" s="1"/>
      <c r="AP15"/>
      <c r="AS15" s="9"/>
    </row>
    <row r="16" spans="1:45">
      <c r="A16" s="30" t="s">
        <v>362</v>
      </c>
      <c r="C16">
        <f t="shared" ref="C16:C41" si="0">IF(ISBLANK(B16),0,B16-1)</f>
        <v>0</v>
      </c>
      <c r="D16" s="3" t="s">
        <v>601</v>
      </c>
      <c r="F16">
        <f>IF(ISBLANK(E16),0,2-E16)</f>
        <v>0</v>
      </c>
      <c r="G16" s="30" t="s">
        <v>465</v>
      </c>
      <c r="H16" s="30" t="s">
        <v>167</v>
      </c>
      <c r="J16" s="5" t="str">
        <f>IF(ISBLANK(I16),"",I16-1)</f>
        <v/>
      </c>
      <c r="K16">
        <f>IF(ISBLANK(I16),0,1)</f>
        <v>0</v>
      </c>
      <c r="M16" s="5"/>
      <c r="N16">
        <f>IF(ISBLANK(B16),0,1)</f>
        <v>0</v>
      </c>
      <c r="P16">
        <f>IF(ISBLANK(E16),0,1)</f>
        <v>0</v>
      </c>
      <c r="S16" s="5"/>
      <c r="T16" s="3"/>
      <c r="V16" s="5"/>
      <c r="Y16" s="5"/>
      <c r="AB16" s="5"/>
      <c r="AJ16" s="5"/>
      <c r="AK16" s="5"/>
      <c r="AO16" s="5"/>
      <c r="AP16"/>
      <c r="AQ16" t="str">
        <f>IF(ISBLANK(AP16),"",AP16-1)</f>
        <v/>
      </c>
      <c r="AS16" s="9"/>
    </row>
    <row r="17" spans="1:45">
      <c r="A17" s="30" t="s">
        <v>330</v>
      </c>
      <c r="C17">
        <f t="shared" si="0"/>
        <v>0</v>
      </c>
      <c r="D17" s="3" t="s">
        <v>602</v>
      </c>
      <c r="F17">
        <f t="shared" ref="F17:F18" si="1">IF(ISBLANK(E17),0,2-E17)</f>
        <v>0</v>
      </c>
      <c r="G17" s="5"/>
      <c r="H17" s="30" t="s">
        <v>168</v>
      </c>
      <c r="J17" s="5" t="str">
        <f t="shared" ref="J17:J80" si="2">IF(ISBLANK(I17),"",I17-1)</f>
        <v/>
      </c>
      <c r="K17">
        <f t="shared" ref="K17:K80" si="3">IF(ISBLANK(I17),0,1)</f>
        <v>0</v>
      </c>
      <c r="M17" s="5"/>
      <c r="N17">
        <f t="shared" ref="N17:N41" si="4">IF(ISBLANK(B17),0,1)</f>
        <v>0</v>
      </c>
      <c r="P17">
        <f t="shared" ref="P17:P41" si="5">IF(ISBLANK(E17),0,1)</f>
        <v>0</v>
      </c>
      <c r="S17" s="5"/>
      <c r="T17" s="3"/>
      <c r="V17" s="5"/>
      <c r="Y17" s="5"/>
      <c r="AB17" s="5"/>
      <c r="AJ17" s="5"/>
      <c r="AK17" s="5"/>
      <c r="AO17" s="5"/>
      <c r="AP17"/>
      <c r="AQ17" t="str">
        <f t="shared" ref="AQ17:AQ53" si="6">IF(ISBLANK(AP17),"",AP17-1)</f>
        <v/>
      </c>
      <c r="AS17" s="9"/>
    </row>
    <row r="18" spans="1:45">
      <c r="A18" s="30" t="s">
        <v>364</v>
      </c>
      <c r="C18">
        <f t="shared" si="0"/>
        <v>0</v>
      </c>
      <c r="D18" s="3" t="s">
        <v>603</v>
      </c>
      <c r="F18">
        <f t="shared" si="1"/>
        <v>0</v>
      </c>
      <c r="G18" s="5"/>
      <c r="H18" s="30" t="s">
        <v>169</v>
      </c>
      <c r="J18" s="5" t="str">
        <f t="shared" si="2"/>
        <v/>
      </c>
      <c r="K18">
        <f t="shared" si="3"/>
        <v>0</v>
      </c>
      <c r="M18" s="5"/>
      <c r="N18">
        <f t="shared" si="4"/>
        <v>0</v>
      </c>
      <c r="P18">
        <f t="shared" si="5"/>
        <v>0</v>
      </c>
      <c r="S18" s="5"/>
      <c r="T18" s="3"/>
      <c r="V18" s="5"/>
      <c r="Y18" s="5"/>
      <c r="AB18" s="5"/>
      <c r="AJ18" s="5"/>
      <c r="AK18" s="5"/>
      <c r="AO18" s="5"/>
      <c r="AP18"/>
      <c r="AQ18" t="str">
        <f t="shared" si="6"/>
        <v/>
      </c>
      <c r="AS18" s="9"/>
    </row>
    <row r="19" spans="1:45">
      <c r="A19" s="30" t="s">
        <v>365</v>
      </c>
      <c r="C19">
        <f t="shared" si="0"/>
        <v>0</v>
      </c>
      <c r="D19" s="3" t="s">
        <v>364</v>
      </c>
      <c r="F19">
        <f>IF(ISBLANK(E19),0,E19-1)</f>
        <v>0</v>
      </c>
      <c r="G19" s="5"/>
      <c r="H19" s="30" t="s">
        <v>170</v>
      </c>
      <c r="J19" s="5" t="str">
        <f t="shared" si="2"/>
        <v/>
      </c>
      <c r="K19">
        <f t="shared" si="3"/>
        <v>0</v>
      </c>
      <c r="M19" s="5"/>
      <c r="N19">
        <f t="shared" si="4"/>
        <v>0</v>
      </c>
      <c r="P19">
        <f t="shared" si="5"/>
        <v>0</v>
      </c>
      <c r="S19" s="5"/>
      <c r="T19" s="3"/>
      <c r="V19" s="5"/>
      <c r="Y19" s="5"/>
      <c r="AB19" s="5"/>
      <c r="AJ19" s="5"/>
      <c r="AK19" s="5"/>
      <c r="AO19" s="5"/>
      <c r="AP19"/>
      <c r="AQ19" t="str">
        <f t="shared" si="6"/>
        <v/>
      </c>
      <c r="AS19" s="9"/>
    </row>
    <row r="20" spans="1:45">
      <c r="A20" s="30" t="s">
        <v>366</v>
      </c>
      <c r="C20">
        <f t="shared" si="0"/>
        <v>0</v>
      </c>
      <c r="D20" s="3" t="s">
        <v>365</v>
      </c>
      <c r="F20">
        <f t="shared" ref="F20:F41" si="7">IF(ISBLANK(E20),0,E20-1)</f>
        <v>0</v>
      </c>
      <c r="G20" s="5"/>
      <c r="H20" s="30" t="s">
        <v>171</v>
      </c>
      <c r="J20" s="5" t="str">
        <f t="shared" si="2"/>
        <v/>
      </c>
      <c r="K20">
        <f t="shared" si="3"/>
        <v>0</v>
      </c>
      <c r="M20" s="5"/>
      <c r="N20">
        <f t="shared" si="4"/>
        <v>0</v>
      </c>
      <c r="P20">
        <f t="shared" si="5"/>
        <v>0</v>
      </c>
      <c r="S20" s="5"/>
      <c r="T20" s="3"/>
      <c r="V20" s="5"/>
      <c r="Y20" s="5"/>
      <c r="AB20" s="5"/>
      <c r="AJ20" s="5"/>
      <c r="AK20" s="5"/>
      <c r="AO20" s="5"/>
      <c r="AP20"/>
      <c r="AQ20" t="str">
        <f t="shared" si="6"/>
        <v/>
      </c>
      <c r="AS20" s="9"/>
    </row>
    <row r="21" spans="1:45">
      <c r="A21" s="30" t="s">
        <v>367</v>
      </c>
      <c r="C21">
        <f t="shared" si="0"/>
        <v>0</v>
      </c>
      <c r="D21" s="3" t="s">
        <v>366</v>
      </c>
      <c r="F21">
        <f t="shared" si="7"/>
        <v>0</v>
      </c>
      <c r="G21" s="5"/>
      <c r="H21" s="30" t="s">
        <v>172</v>
      </c>
      <c r="J21" s="5" t="str">
        <f t="shared" si="2"/>
        <v/>
      </c>
      <c r="K21">
        <f t="shared" si="3"/>
        <v>0</v>
      </c>
      <c r="M21" s="5"/>
      <c r="N21">
        <f t="shared" si="4"/>
        <v>0</v>
      </c>
      <c r="P21">
        <f t="shared" si="5"/>
        <v>0</v>
      </c>
      <c r="S21" s="5"/>
      <c r="T21" s="3"/>
      <c r="V21" s="5"/>
      <c r="Y21" s="5"/>
      <c r="AB21" s="5"/>
      <c r="AJ21" s="5"/>
      <c r="AK21" s="5"/>
      <c r="AO21" s="5"/>
      <c r="AP21"/>
      <c r="AQ21" t="str">
        <f t="shared" si="6"/>
        <v/>
      </c>
      <c r="AS21" s="9"/>
    </row>
    <row r="22" spans="1:45">
      <c r="A22" s="30" t="s">
        <v>368</v>
      </c>
      <c r="C22">
        <f t="shared" si="0"/>
        <v>0</v>
      </c>
      <c r="D22" s="3" t="s">
        <v>604</v>
      </c>
      <c r="F22">
        <f t="shared" si="7"/>
        <v>0</v>
      </c>
      <c r="G22" s="30" t="s">
        <v>481</v>
      </c>
      <c r="H22" s="30" t="s">
        <v>173</v>
      </c>
      <c r="J22" s="5" t="str">
        <f t="shared" si="2"/>
        <v/>
      </c>
      <c r="K22">
        <f t="shared" si="3"/>
        <v>0</v>
      </c>
      <c r="M22" s="5"/>
      <c r="N22">
        <f t="shared" si="4"/>
        <v>0</v>
      </c>
      <c r="P22">
        <f t="shared" si="5"/>
        <v>0</v>
      </c>
      <c r="S22" s="5"/>
      <c r="V22" s="5"/>
      <c r="Y22" s="5"/>
      <c r="AB22" s="5"/>
      <c r="AJ22" s="5"/>
      <c r="AK22" s="5"/>
      <c r="AO22" s="5"/>
      <c r="AP22"/>
      <c r="AQ22" t="str">
        <f t="shared" si="6"/>
        <v/>
      </c>
      <c r="AS22" s="9"/>
    </row>
    <row r="23" spans="1:45">
      <c r="A23" s="30" t="s">
        <v>369</v>
      </c>
      <c r="C23">
        <f t="shared" si="0"/>
        <v>0</v>
      </c>
      <c r="D23" s="3" t="s">
        <v>367</v>
      </c>
      <c r="F23">
        <f t="shared" si="7"/>
        <v>0</v>
      </c>
      <c r="G23" s="5"/>
      <c r="H23" s="30" t="s">
        <v>174</v>
      </c>
      <c r="J23" s="5" t="str">
        <f t="shared" si="2"/>
        <v/>
      </c>
      <c r="K23">
        <f t="shared" si="3"/>
        <v>0</v>
      </c>
      <c r="M23" s="5"/>
      <c r="N23">
        <f t="shared" si="4"/>
        <v>0</v>
      </c>
      <c r="P23">
        <f t="shared" si="5"/>
        <v>0</v>
      </c>
      <c r="S23" s="5"/>
      <c r="V23" s="5"/>
      <c r="Y23" s="5"/>
      <c r="AB23" s="5"/>
      <c r="AJ23" s="5"/>
      <c r="AK23" s="5"/>
      <c r="AO23" s="5"/>
      <c r="AP23"/>
      <c r="AQ23" t="str">
        <f t="shared" si="6"/>
        <v/>
      </c>
      <c r="AS23" s="9"/>
    </row>
    <row r="24" spans="1:45">
      <c r="A24" s="30" t="s">
        <v>370</v>
      </c>
      <c r="C24">
        <f t="shared" si="0"/>
        <v>0</v>
      </c>
      <c r="D24" s="3" t="s">
        <v>605</v>
      </c>
      <c r="F24">
        <f t="shared" si="7"/>
        <v>0</v>
      </c>
      <c r="G24" s="5"/>
      <c r="H24" s="30" t="s">
        <v>175</v>
      </c>
      <c r="J24" s="5" t="str">
        <f t="shared" si="2"/>
        <v/>
      </c>
      <c r="K24">
        <f t="shared" si="3"/>
        <v>0</v>
      </c>
      <c r="M24" s="5"/>
      <c r="N24">
        <f t="shared" si="4"/>
        <v>0</v>
      </c>
      <c r="P24">
        <f t="shared" si="5"/>
        <v>0</v>
      </c>
      <c r="S24" s="5"/>
      <c r="V24" s="5"/>
      <c r="Y24" s="5"/>
      <c r="AB24" s="5"/>
      <c r="AJ24" s="5"/>
      <c r="AK24" s="5"/>
      <c r="AO24" s="5"/>
      <c r="AP24"/>
      <c r="AQ24" t="str">
        <f t="shared" si="6"/>
        <v/>
      </c>
      <c r="AS24" s="9"/>
    </row>
    <row r="25" spans="1:45">
      <c r="A25" s="30" t="s">
        <v>371</v>
      </c>
      <c r="C25">
        <f t="shared" si="0"/>
        <v>0</v>
      </c>
      <c r="D25" s="3" t="s">
        <v>606</v>
      </c>
      <c r="F25">
        <f t="shared" si="7"/>
        <v>0</v>
      </c>
      <c r="G25" s="5"/>
      <c r="H25" s="30" t="s">
        <v>176</v>
      </c>
      <c r="J25" s="5" t="str">
        <f t="shared" si="2"/>
        <v/>
      </c>
      <c r="K25">
        <f t="shared" si="3"/>
        <v>0</v>
      </c>
      <c r="M25" s="5"/>
      <c r="N25">
        <f t="shared" si="4"/>
        <v>0</v>
      </c>
      <c r="P25">
        <f t="shared" si="5"/>
        <v>0</v>
      </c>
      <c r="S25" s="5"/>
      <c r="V25" s="5"/>
      <c r="Y25" s="5"/>
      <c r="AB25" s="5"/>
      <c r="AJ25" s="5"/>
      <c r="AK25" s="5"/>
      <c r="AO25" s="5"/>
      <c r="AP25"/>
      <c r="AQ25" t="str">
        <f t="shared" si="6"/>
        <v/>
      </c>
      <c r="AS25" s="9"/>
    </row>
    <row r="26" spans="1:45">
      <c r="A26" s="30" t="s">
        <v>372</v>
      </c>
      <c r="C26">
        <f t="shared" si="0"/>
        <v>0</v>
      </c>
      <c r="D26" s="3" t="s">
        <v>372</v>
      </c>
      <c r="F26">
        <f t="shared" si="7"/>
        <v>0</v>
      </c>
      <c r="G26" s="5"/>
      <c r="H26" s="30" t="s">
        <v>177</v>
      </c>
      <c r="J26" s="5" t="str">
        <f t="shared" si="2"/>
        <v/>
      </c>
      <c r="K26">
        <f t="shared" si="3"/>
        <v>0</v>
      </c>
      <c r="M26" s="5"/>
      <c r="N26">
        <f t="shared" si="4"/>
        <v>0</v>
      </c>
      <c r="P26">
        <f t="shared" si="5"/>
        <v>0</v>
      </c>
      <c r="S26" s="5"/>
      <c r="V26" s="5"/>
      <c r="Y26" s="5"/>
      <c r="AB26" s="5"/>
      <c r="AK26" s="5"/>
      <c r="AO26" s="5"/>
      <c r="AP26"/>
      <c r="AQ26" t="str">
        <f t="shared" si="6"/>
        <v/>
      </c>
      <c r="AS26" s="9"/>
    </row>
    <row r="27" spans="1:45">
      <c r="A27" s="30" t="s">
        <v>373</v>
      </c>
      <c r="C27">
        <f t="shared" si="0"/>
        <v>0</v>
      </c>
      <c r="D27" s="3" t="s">
        <v>607</v>
      </c>
      <c r="F27">
        <f t="shared" si="7"/>
        <v>0</v>
      </c>
      <c r="G27" s="5"/>
      <c r="H27" s="30" t="s">
        <v>178</v>
      </c>
      <c r="J27" s="5" t="str">
        <f t="shared" si="2"/>
        <v/>
      </c>
      <c r="K27">
        <f t="shared" si="3"/>
        <v>0</v>
      </c>
      <c r="M27" s="5"/>
      <c r="N27">
        <f t="shared" si="4"/>
        <v>0</v>
      </c>
      <c r="P27">
        <f t="shared" si="5"/>
        <v>0</v>
      </c>
      <c r="S27" s="5"/>
      <c r="V27" s="5"/>
      <c r="Y27" s="5"/>
      <c r="AB27" s="5"/>
      <c r="AK27" s="5"/>
      <c r="AO27" s="5"/>
      <c r="AP27"/>
      <c r="AQ27" t="str">
        <f t="shared" si="6"/>
        <v/>
      </c>
      <c r="AS27" s="9"/>
    </row>
    <row r="28" spans="1:45">
      <c r="A28" s="30" t="s">
        <v>626</v>
      </c>
      <c r="C28">
        <f t="shared" si="0"/>
        <v>0</v>
      </c>
      <c r="D28" s="3" t="s">
        <v>626</v>
      </c>
      <c r="F28">
        <f t="shared" si="7"/>
        <v>0</v>
      </c>
      <c r="G28" s="30" t="s">
        <v>467</v>
      </c>
      <c r="H28" s="30" t="s">
        <v>179</v>
      </c>
      <c r="J28" s="5" t="str">
        <f t="shared" si="2"/>
        <v/>
      </c>
      <c r="K28">
        <f t="shared" si="3"/>
        <v>0</v>
      </c>
      <c r="M28" s="5"/>
      <c r="N28">
        <f t="shared" si="4"/>
        <v>0</v>
      </c>
      <c r="P28">
        <f t="shared" si="5"/>
        <v>0</v>
      </c>
      <c r="S28" s="5"/>
      <c r="V28" s="5"/>
      <c r="Y28" s="5"/>
      <c r="AB28" s="5"/>
      <c r="AK28" s="5"/>
      <c r="AO28" s="5"/>
      <c r="AP28"/>
      <c r="AQ28" t="str">
        <f t="shared" si="6"/>
        <v/>
      </c>
      <c r="AS28" s="9"/>
    </row>
    <row r="29" spans="1:45">
      <c r="A29" s="30" t="s">
        <v>374</v>
      </c>
      <c r="C29">
        <f t="shared" si="0"/>
        <v>0</v>
      </c>
      <c r="D29" s="3" t="s">
        <v>374</v>
      </c>
      <c r="F29">
        <f t="shared" si="7"/>
        <v>0</v>
      </c>
      <c r="G29" s="5"/>
      <c r="H29" s="30" t="s">
        <v>180</v>
      </c>
      <c r="J29" s="5" t="str">
        <f t="shared" si="2"/>
        <v/>
      </c>
      <c r="K29">
        <f t="shared" si="3"/>
        <v>0</v>
      </c>
      <c r="M29" s="5"/>
      <c r="N29">
        <f t="shared" si="4"/>
        <v>0</v>
      </c>
      <c r="P29">
        <f t="shared" si="5"/>
        <v>0</v>
      </c>
      <c r="S29" s="5"/>
      <c r="V29" s="5"/>
      <c r="Y29" s="5"/>
      <c r="AB29" s="5"/>
      <c r="AK29" s="5"/>
      <c r="AO29" s="5"/>
      <c r="AP29"/>
      <c r="AQ29" t="str">
        <f t="shared" si="6"/>
        <v/>
      </c>
      <c r="AS29" s="9"/>
    </row>
    <row r="30" spans="1:45">
      <c r="A30" s="30" t="s">
        <v>375</v>
      </c>
      <c r="C30">
        <f t="shared" si="0"/>
        <v>0</v>
      </c>
      <c r="D30" s="3" t="s">
        <v>375</v>
      </c>
      <c r="F30">
        <f t="shared" si="7"/>
        <v>0</v>
      </c>
      <c r="G30" s="5"/>
      <c r="H30" s="30" t="s">
        <v>181</v>
      </c>
      <c r="J30" s="5" t="str">
        <f t="shared" si="2"/>
        <v/>
      </c>
      <c r="K30">
        <f t="shared" si="3"/>
        <v>0</v>
      </c>
      <c r="M30" s="5"/>
      <c r="N30">
        <f t="shared" si="4"/>
        <v>0</v>
      </c>
      <c r="P30">
        <f t="shared" si="5"/>
        <v>0</v>
      </c>
      <c r="S30" s="5"/>
      <c r="V30" s="5"/>
      <c r="Y30" s="5"/>
      <c r="AB30" s="5"/>
      <c r="AK30" s="5"/>
      <c r="AO30" s="5"/>
      <c r="AP30"/>
      <c r="AQ30" t="str">
        <f t="shared" si="6"/>
        <v/>
      </c>
      <c r="AS30" s="9"/>
    </row>
    <row r="31" spans="1:45">
      <c r="A31" s="30" t="s">
        <v>376</v>
      </c>
      <c r="C31">
        <f t="shared" si="0"/>
        <v>0</v>
      </c>
      <c r="D31" s="3" t="s">
        <v>608</v>
      </c>
      <c r="F31">
        <f t="shared" si="7"/>
        <v>0</v>
      </c>
      <c r="G31" s="5"/>
      <c r="H31" s="30" t="s">
        <v>182</v>
      </c>
      <c r="J31" s="5" t="str">
        <f t="shared" si="2"/>
        <v/>
      </c>
      <c r="K31">
        <f t="shared" si="3"/>
        <v>0</v>
      </c>
      <c r="M31" s="5"/>
      <c r="N31">
        <f t="shared" si="4"/>
        <v>0</v>
      </c>
      <c r="P31">
        <f t="shared" si="5"/>
        <v>0</v>
      </c>
      <c r="S31" s="5"/>
      <c r="V31" s="5"/>
      <c r="Y31" s="5"/>
      <c r="AB31" s="5"/>
      <c r="AK31" s="5"/>
      <c r="AO31" s="5"/>
      <c r="AP31"/>
      <c r="AQ31" t="str">
        <f t="shared" si="6"/>
        <v/>
      </c>
      <c r="AS31" s="9"/>
    </row>
    <row r="32" spans="1:45">
      <c r="A32" s="30" t="s">
        <v>377</v>
      </c>
      <c r="C32">
        <f t="shared" si="0"/>
        <v>0</v>
      </c>
      <c r="D32" s="3" t="s">
        <v>376</v>
      </c>
      <c r="F32">
        <f t="shared" si="7"/>
        <v>0</v>
      </c>
      <c r="G32" s="5"/>
      <c r="H32" s="30" t="s">
        <v>183</v>
      </c>
      <c r="J32" s="5" t="str">
        <f t="shared" si="2"/>
        <v/>
      </c>
      <c r="K32">
        <f t="shared" si="3"/>
        <v>0</v>
      </c>
      <c r="M32" s="5"/>
      <c r="N32">
        <f t="shared" si="4"/>
        <v>0</v>
      </c>
      <c r="P32">
        <f t="shared" si="5"/>
        <v>0</v>
      </c>
      <c r="S32" s="5"/>
      <c r="V32" s="5"/>
      <c r="Y32" s="5"/>
      <c r="AB32" s="5"/>
      <c r="AK32" s="5"/>
      <c r="AO32" s="5"/>
      <c r="AP32"/>
      <c r="AQ32" t="str">
        <f t="shared" si="6"/>
        <v/>
      </c>
      <c r="AS32" s="9"/>
    </row>
    <row r="33" spans="1:45">
      <c r="A33" s="30" t="s">
        <v>378</v>
      </c>
      <c r="C33">
        <f t="shared" si="0"/>
        <v>0</v>
      </c>
      <c r="D33" s="3" t="s">
        <v>378</v>
      </c>
      <c r="F33">
        <f t="shared" si="7"/>
        <v>0</v>
      </c>
      <c r="G33" s="5"/>
      <c r="H33" s="30" t="s">
        <v>184</v>
      </c>
      <c r="J33" s="5" t="str">
        <f t="shared" si="2"/>
        <v/>
      </c>
      <c r="K33">
        <f t="shared" si="3"/>
        <v>0</v>
      </c>
      <c r="M33" s="5"/>
      <c r="N33">
        <f t="shared" si="4"/>
        <v>0</v>
      </c>
      <c r="P33">
        <f t="shared" si="5"/>
        <v>0</v>
      </c>
      <c r="S33" s="5"/>
      <c r="V33" s="5"/>
      <c r="Y33" s="5"/>
      <c r="AB33" s="5"/>
      <c r="AK33" s="5"/>
      <c r="AO33" s="5"/>
      <c r="AP33"/>
      <c r="AQ33" t="str">
        <f t="shared" si="6"/>
        <v/>
      </c>
      <c r="AS33" s="9"/>
    </row>
    <row r="34" spans="1:45">
      <c r="A34" s="30" t="s">
        <v>379</v>
      </c>
      <c r="C34">
        <f t="shared" si="0"/>
        <v>0</v>
      </c>
      <c r="D34" s="3" t="s">
        <v>379</v>
      </c>
      <c r="F34">
        <f t="shared" si="7"/>
        <v>0</v>
      </c>
      <c r="G34" s="30" t="s">
        <v>468</v>
      </c>
      <c r="H34" s="30" t="s">
        <v>185</v>
      </c>
      <c r="J34" s="5" t="str">
        <f t="shared" si="2"/>
        <v/>
      </c>
      <c r="K34">
        <f t="shared" si="3"/>
        <v>0</v>
      </c>
      <c r="M34" s="5"/>
      <c r="N34">
        <f t="shared" si="4"/>
        <v>0</v>
      </c>
      <c r="P34">
        <f t="shared" si="5"/>
        <v>0</v>
      </c>
      <c r="S34" s="5"/>
      <c r="V34" s="5"/>
      <c r="Y34" s="5"/>
      <c r="AB34" s="5"/>
      <c r="AK34" s="5"/>
      <c r="AO34" s="5"/>
      <c r="AP34"/>
      <c r="AQ34" t="str">
        <f t="shared" si="6"/>
        <v/>
      </c>
      <c r="AS34" s="9"/>
    </row>
    <row r="35" spans="1:45">
      <c r="A35" s="30" t="s">
        <v>380</v>
      </c>
      <c r="C35">
        <f t="shared" si="0"/>
        <v>0</v>
      </c>
      <c r="D35" s="3" t="s">
        <v>380</v>
      </c>
      <c r="F35">
        <f t="shared" si="7"/>
        <v>0</v>
      </c>
      <c r="G35" s="5"/>
      <c r="H35" s="30" t="s">
        <v>186</v>
      </c>
      <c r="J35" s="5" t="str">
        <f t="shared" si="2"/>
        <v/>
      </c>
      <c r="K35">
        <f t="shared" si="3"/>
        <v>0</v>
      </c>
      <c r="M35" s="5"/>
      <c r="N35">
        <f t="shared" si="4"/>
        <v>0</v>
      </c>
      <c r="P35">
        <f t="shared" si="5"/>
        <v>0</v>
      </c>
      <c r="S35" s="5"/>
      <c r="V35" s="5"/>
      <c r="Y35" s="5"/>
      <c r="AB35" s="5"/>
      <c r="AK35" s="5"/>
      <c r="AO35" s="5"/>
      <c r="AP35"/>
      <c r="AQ35" t="str">
        <f t="shared" si="6"/>
        <v/>
      </c>
      <c r="AS35" s="9"/>
    </row>
    <row r="36" spans="1:45">
      <c r="A36" s="30" t="s">
        <v>381</v>
      </c>
      <c r="C36">
        <f t="shared" si="0"/>
        <v>0</v>
      </c>
      <c r="D36" s="3" t="s">
        <v>381</v>
      </c>
      <c r="F36">
        <f t="shared" si="7"/>
        <v>0</v>
      </c>
      <c r="G36" s="5"/>
      <c r="H36" s="30" t="s">
        <v>187</v>
      </c>
      <c r="J36" s="5" t="str">
        <f t="shared" si="2"/>
        <v/>
      </c>
      <c r="K36">
        <f t="shared" si="3"/>
        <v>0</v>
      </c>
      <c r="M36" s="5"/>
      <c r="N36">
        <f t="shared" si="4"/>
        <v>0</v>
      </c>
      <c r="P36">
        <f t="shared" si="5"/>
        <v>0</v>
      </c>
      <c r="V36" s="5"/>
      <c r="Y36" s="5"/>
      <c r="AK36" s="5"/>
      <c r="AO36" s="5"/>
      <c r="AP36"/>
      <c r="AQ36" t="str">
        <f t="shared" si="6"/>
        <v/>
      </c>
      <c r="AS36" s="9"/>
    </row>
    <row r="37" spans="1:45">
      <c r="A37" s="30" t="s">
        <v>382</v>
      </c>
      <c r="C37">
        <f t="shared" si="0"/>
        <v>0</v>
      </c>
      <c r="D37" s="3" t="s">
        <v>609</v>
      </c>
      <c r="F37">
        <f t="shared" si="7"/>
        <v>0</v>
      </c>
      <c r="G37" s="5"/>
      <c r="H37" s="30" t="s">
        <v>188</v>
      </c>
      <c r="J37" s="5" t="str">
        <f t="shared" si="2"/>
        <v/>
      </c>
      <c r="K37">
        <f t="shared" si="3"/>
        <v>0</v>
      </c>
      <c r="N37">
        <f t="shared" si="4"/>
        <v>0</v>
      </c>
      <c r="P37">
        <f t="shared" si="5"/>
        <v>0</v>
      </c>
      <c r="V37" s="5"/>
      <c r="Y37" s="5"/>
      <c r="AK37" s="5"/>
      <c r="AO37" s="5"/>
      <c r="AP37"/>
      <c r="AQ37" t="str">
        <f t="shared" si="6"/>
        <v/>
      </c>
      <c r="AS37" s="9"/>
    </row>
    <row r="38" spans="1:45">
      <c r="A38" s="30" t="s">
        <v>383</v>
      </c>
      <c r="C38">
        <f t="shared" si="0"/>
        <v>0</v>
      </c>
      <c r="D38" s="3" t="s">
        <v>383</v>
      </c>
      <c r="F38">
        <f t="shared" si="7"/>
        <v>0</v>
      </c>
      <c r="G38" s="5"/>
      <c r="H38" s="30" t="s">
        <v>189</v>
      </c>
      <c r="J38" s="5" t="str">
        <f t="shared" si="2"/>
        <v/>
      </c>
      <c r="K38">
        <f t="shared" si="3"/>
        <v>0</v>
      </c>
      <c r="N38">
        <f t="shared" si="4"/>
        <v>0</v>
      </c>
      <c r="P38">
        <f t="shared" si="5"/>
        <v>0</v>
      </c>
      <c r="V38" s="5"/>
      <c r="Y38" s="5"/>
      <c r="AK38" s="5"/>
      <c r="AO38" s="5"/>
      <c r="AP38"/>
      <c r="AQ38" t="str">
        <f t="shared" si="6"/>
        <v/>
      </c>
      <c r="AS38" s="9"/>
    </row>
    <row r="39" spans="1:45">
      <c r="A39" s="30" t="s">
        <v>384</v>
      </c>
      <c r="C39">
        <f t="shared" si="0"/>
        <v>0</v>
      </c>
      <c r="D39" s="3" t="s">
        <v>610</v>
      </c>
      <c r="F39">
        <f t="shared" si="7"/>
        <v>0</v>
      </c>
      <c r="G39" s="5"/>
      <c r="H39" s="30" t="s">
        <v>190</v>
      </c>
      <c r="J39" s="5" t="str">
        <f t="shared" si="2"/>
        <v/>
      </c>
      <c r="K39">
        <f t="shared" si="3"/>
        <v>0</v>
      </c>
      <c r="N39">
        <f t="shared" si="4"/>
        <v>0</v>
      </c>
      <c r="P39">
        <f t="shared" si="5"/>
        <v>0</v>
      </c>
      <c r="V39" s="5"/>
      <c r="Y39" s="5"/>
      <c r="AK39" s="5"/>
      <c r="AO39" s="5"/>
      <c r="AP39"/>
      <c r="AQ39" t="str">
        <f t="shared" si="6"/>
        <v/>
      </c>
      <c r="AS39" s="9"/>
    </row>
    <row r="40" spans="1:45">
      <c r="A40" s="30" t="s">
        <v>385</v>
      </c>
      <c r="C40">
        <f t="shared" si="0"/>
        <v>0</v>
      </c>
      <c r="D40" s="3" t="s">
        <v>385</v>
      </c>
      <c r="F40">
        <f t="shared" si="7"/>
        <v>0</v>
      </c>
      <c r="G40" s="30" t="s">
        <v>432</v>
      </c>
      <c r="H40" s="30" t="s">
        <v>191</v>
      </c>
      <c r="J40" s="5" t="str">
        <f t="shared" si="2"/>
        <v/>
      </c>
      <c r="K40">
        <f t="shared" si="3"/>
        <v>0</v>
      </c>
      <c r="N40">
        <f t="shared" si="4"/>
        <v>0</v>
      </c>
      <c r="P40">
        <f t="shared" si="5"/>
        <v>0</v>
      </c>
      <c r="V40" s="5"/>
      <c r="Y40" s="5"/>
      <c r="AK40" s="5"/>
      <c r="AO40" s="5"/>
      <c r="AP40"/>
      <c r="AQ40" t="str">
        <f t="shared" si="6"/>
        <v/>
      </c>
      <c r="AS40" s="9"/>
    </row>
    <row r="41" spans="1:45">
      <c r="A41" s="30" t="s">
        <v>386</v>
      </c>
      <c r="C41">
        <f t="shared" si="0"/>
        <v>0</v>
      </c>
      <c r="D41" s="3" t="s">
        <v>611</v>
      </c>
      <c r="F41">
        <f t="shared" si="7"/>
        <v>0</v>
      </c>
      <c r="H41" s="30" t="s">
        <v>192</v>
      </c>
      <c r="J41" s="5" t="str">
        <f t="shared" si="2"/>
        <v/>
      </c>
      <c r="K41">
        <f t="shared" si="3"/>
        <v>0</v>
      </c>
      <c r="N41">
        <f t="shared" si="4"/>
        <v>0</v>
      </c>
      <c r="P41">
        <f t="shared" si="5"/>
        <v>0</v>
      </c>
      <c r="V41" s="5"/>
      <c r="Y41" s="5"/>
      <c r="AK41" s="5"/>
      <c r="AO41" s="5"/>
      <c r="AP41"/>
      <c r="AQ41" t="str">
        <f t="shared" si="6"/>
        <v/>
      </c>
      <c r="AS41" s="9"/>
    </row>
    <row r="42" spans="1:45">
      <c r="A42" s="5"/>
      <c r="G42" s="5"/>
      <c r="H42" s="30" t="s">
        <v>193</v>
      </c>
      <c r="J42" s="5" t="str">
        <f t="shared" si="2"/>
        <v/>
      </c>
      <c r="K42">
        <f t="shared" si="3"/>
        <v>0</v>
      </c>
      <c r="N42">
        <f>SUM(N16:N41)</f>
        <v>0</v>
      </c>
      <c r="P42">
        <f>SUM(P16:P41)</f>
        <v>0</v>
      </c>
      <c r="V42" s="5"/>
      <c r="Y42" s="5"/>
      <c r="AK42" s="5"/>
      <c r="AO42" s="5"/>
      <c r="AP42"/>
      <c r="AQ42" t="str">
        <f t="shared" si="6"/>
        <v/>
      </c>
      <c r="AS42" s="9"/>
    </row>
    <row r="43" spans="1:45">
      <c r="A43" s="30" t="s">
        <v>106</v>
      </c>
      <c r="C43" t="str">
        <f>IF(ISBLANK(B16),"",(IF(C16*C17=0,"Trouble absent ou infra-clinique",IF(C18+C19+C20+C23&gt;2,"Boulime         ","Accès hyperphagiques"))))</f>
        <v/>
      </c>
      <c r="D43" s="3" t="s">
        <v>106</v>
      </c>
      <c r="F43" t="str">
        <f>IF(ISBLANK(E16),"",(IF(F16*(F17+F18)=0,"Trouble absent ou infra-clinique",IF(F19+F20+F21&gt;1,"Anorexie avec purges   ","Anorexie restrictive    "))))</f>
        <v/>
      </c>
      <c r="G43" s="5"/>
      <c r="H43" s="30" t="s">
        <v>194</v>
      </c>
      <c r="J43" s="5" t="str">
        <f t="shared" si="2"/>
        <v/>
      </c>
      <c r="K43">
        <f t="shared" si="3"/>
        <v>0</v>
      </c>
      <c r="V43" s="5"/>
      <c r="Y43" s="5"/>
      <c r="AK43" s="5"/>
      <c r="AO43" s="5"/>
      <c r="AP43"/>
      <c r="AQ43" t="str">
        <f t="shared" si="6"/>
        <v/>
      </c>
      <c r="AS43" s="9"/>
    </row>
    <row r="44" spans="1:45">
      <c r="A44" s="30" t="s">
        <v>390</v>
      </c>
      <c r="B44" s="30" t="s">
        <v>373</v>
      </c>
      <c r="C44" s="26">
        <f>SUM(C25+C26+C27+C28+C34)/15</f>
        <v>0</v>
      </c>
      <c r="D44" s="83" t="s">
        <v>390</v>
      </c>
      <c r="E44" s="83" t="s">
        <v>373</v>
      </c>
      <c r="F44" s="26">
        <f>SUM(F25+F26+F27+F28+F34)/15</f>
        <v>0</v>
      </c>
      <c r="G44" s="5"/>
      <c r="H44" s="30" t="s">
        <v>195</v>
      </c>
      <c r="J44" s="5" t="str">
        <f t="shared" si="2"/>
        <v/>
      </c>
      <c r="K44">
        <f t="shared" si="3"/>
        <v>0</v>
      </c>
      <c r="V44" s="5"/>
      <c r="Y44" s="5"/>
      <c r="AK44" s="5"/>
      <c r="AO44" s="5"/>
      <c r="AP44"/>
      <c r="AQ44" t="str">
        <f t="shared" si="6"/>
        <v/>
      </c>
      <c r="AS44" s="9"/>
    </row>
    <row r="45" spans="1:45">
      <c r="B45" s="30" t="s">
        <v>387</v>
      </c>
      <c r="C45" s="26">
        <f>SUM(C29+C30+C31+C32+C33+C35)/18</f>
        <v>0</v>
      </c>
      <c r="D45" s="26"/>
      <c r="E45" s="83" t="s">
        <v>387</v>
      </c>
      <c r="F45" s="26">
        <f>SUM(F29+F30+F31+F32+F33+F35)/18</f>
        <v>0</v>
      </c>
      <c r="G45" s="5"/>
      <c r="H45" s="30" t="s">
        <v>196</v>
      </c>
      <c r="J45" s="5" t="str">
        <f t="shared" si="2"/>
        <v/>
      </c>
      <c r="K45">
        <f t="shared" si="3"/>
        <v>0</v>
      </c>
      <c r="V45" s="5"/>
      <c r="Y45" s="5"/>
      <c r="AK45" s="5"/>
      <c r="AO45" s="5"/>
      <c r="AP45"/>
      <c r="AQ45" t="str">
        <f t="shared" si="6"/>
        <v/>
      </c>
      <c r="AS45" s="9"/>
    </row>
    <row r="46" spans="1:45">
      <c r="B46" s="30" t="s">
        <v>389</v>
      </c>
      <c r="C46" s="26">
        <f>SUM(C36:C40)/15</f>
        <v>0</v>
      </c>
      <c r="D46" s="26"/>
      <c r="E46" s="83" t="s">
        <v>628</v>
      </c>
      <c r="F46" s="26">
        <f>SUM(F36:F40)/15</f>
        <v>0</v>
      </c>
      <c r="G46" s="30" t="s">
        <v>433</v>
      </c>
      <c r="H46" s="30" t="s">
        <v>197</v>
      </c>
      <c r="J46" s="5" t="str">
        <f t="shared" si="2"/>
        <v/>
      </c>
      <c r="K46">
        <f t="shared" si="3"/>
        <v>0</v>
      </c>
      <c r="V46" s="5"/>
      <c r="Y46" s="5"/>
      <c r="AK46" s="5"/>
      <c r="AO46" s="5"/>
      <c r="AP46"/>
      <c r="AQ46" t="str">
        <f t="shared" si="6"/>
        <v/>
      </c>
      <c r="AS46" s="9"/>
    </row>
    <row r="47" spans="1:45">
      <c r="B47" s="30" t="s">
        <v>388</v>
      </c>
      <c r="C47" s="26">
        <f>C41/10</f>
        <v>0</v>
      </c>
      <c r="D47" s="26"/>
      <c r="E47" s="83" t="s">
        <v>611</v>
      </c>
      <c r="F47" s="26">
        <f>F41/10</f>
        <v>0</v>
      </c>
      <c r="G47" s="5"/>
      <c r="H47" s="30" t="s">
        <v>151</v>
      </c>
      <c r="J47" s="5" t="str">
        <f t="shared" si="2"/>
        <v/>
      </c>
      <c r="K47">
        <f t="shared" si="3"/>
        <v>0</v>
      </c>
      <c r="V47" s="5"/>
      <c r="Y47" s="5"/>
      <c r="AK47" s="5"/>
      <c r="AO47" s="5"/>
      <c r="AP47"/>
      <c r="AQ47" t="str">
        <f t="shared" si="6"/>
        <v/>
      </c>
      <c r="AS47" s="9"/>
    </row>
    <row r="48" spans="1:45">
      <c r="A48" s="30"/>
      <c r="G48" s="5"/>
      <c r="H48" s="30" t="s">
        <v>152</v>
      </c>
      <c r="J48" s="5" t="str">
        <f t="shared" si="2"/>
        <v/>
      </c>
      <c r="K48">
        <f t="shared" si="3"/>
        <v>0</v>
      </c>
      <c r="V48" s="5"/>
      <c r="Y48" s="5"/>
      <c r="AK48" s="5"/>
      <c r="AO48" s="5"/>
      <c r="AP48"/>
      <c r="AQ48" t="str">
        <f t="shared" si="6"/>
        <v/>
      </c>
      <c r="AS48" s="9"/>
    </row>
    <row r="49" spans="1:45">
      <c r="A49" s="5"/>
      <c r="B49" s="30"/>
      <c r="C49" s="26"/>
      <c r="D49" s="26"/>
      <c r="E49" s="26"/>
      <c r="F49" s="26"/>
      <c r="G49" s="5"/>
      <c r="H49" s="30" t="s">
        <v>153</v>
      </c>
      <c r="J49" s="5" t="str">
        <f t="shared" si="2"/>
        <v/>
      </c>
      <c r="K49">
        <f t="shared" si="3"/>
        <v>0</v>
      </c>
      <c r="V49" s="5"/>
      <c r="Y49" s="5"/>
      <c r="AK49" s="5"/>
      <c r="AO49" s="5"/>
      <c r="AP49"/>
      <c r="AQ49" t="str">
        <f t="shared" si="6"/>
        <v/>
      </c>
      <c r="AS49" s="9"/>
    </row>
    <row r="50" spans="1:45">
      <c r="A50" s="5"/>
      <c r="B50" s="30"/>
      <c r="C50" s="26"/>
      <c r="D50" s="26"/>
      <c r="E50" s="26"/>
      <c r="F50" s="26"/>
      <c r="G50" s="5"/>
      <c r="H50" s="30" t="s">
        <v>154</v>
      </c>
      <c r="J50" s="5" t="str">
        <f t="shared" si="2"/>
        <v/>
      </c>
      <c r="K50">
        <f t="shared" si="3"/>
        <v>0</v>
      </c>
      <c r="V50" s="5"/>
      <c r="Y50" s="5"/>
      <c r="AK50" s="5"/>
      <c r="AO50" s="5"/>
      <c r="AP50"/>
      <c r="AQ50" t="str">
        <f t="shared" si="6"/>
        <v/>
      </c>
      <c r="AS50" s="9"/>
    </row>
    <row r="51" spans="1:45">
      <c r="A51" s="84" t="s">
        <v>106</v>
      </c>
      <c r="B51" s="84"/>
      <c r="C51" s="85" t="str">
        <f>(C43&amp;F43)</f>
        <v/>
      </c>
      <c r="D51" s="83" t="s">
        <v>798</v>
      </c>
      <c r="E51" s="461">
        <f>C16+F51</f>
        <v>0</v>
      </c>
      <c r="F51" s="461">
        <f>IF('Saisie Pds'!B7=0,0,IF('Saisie Pds'!B7&lt;'Courbe In'!B13,4,(IF('Saisie Pds'!B7&lt;'Courbe In'!B12,3,(IF('Saisie Pds'!B7&lt;'Courbe In'!B11,2,(IF('Saisie Pds'!B7&lt;'Courbe In'!B10,1,0))))))))</f>
        <v>0</v>
      </c>
      <c r="G51" s="5"/>
      <c r="H51" s="30" t="s">
        <v>155</v>
      </c>
      <c r="J51" s="5" t="str">
        <f t="shared" si="2"/>
        <v/>
      </c>
      <c r="K51">
        <f t="shared" si="3"/>
        <v>0</v>
      </c>
      <c r="V51" s="5"/>
      <c r="Y51" s="5"/>
      <c r="AK51" s="5"/>
      <c r="AO51" s="5"/>
      <c r="AP51"/>
      <c r="AQ51" t="str">
        <f t="shared" si="6"/>
        <v/>
      </c>
      <c r="AS51" s="9"/>
    </row>
    <row r="52" spans="1:45">
      <c r="A52" s="84" t="s">
        <v>390</v>
      </c>
      <c r="B52" s="84" t="s">
        <v>373</v>
      </c>
      <c r="C52" s="85">
        <f>IF(ISBLANK(A2),"",(IF(A2&lt;9,F44,C44)))</f>
        <v>0</v>
      </c>
      <c r="D52" s="26"/>
      <c r="E52" s="26"/>
      <c r="F52" s="26"/>
      <c r="G52" s="30" t="s">
        <v>469</v>
      </c>
      <c r="H52" s="30" t="s">
        <v>156</v>
      </c>
      <c r="J52" s="5" t="str">
        <f t="shared" si="2"/>
        <v/>
      </c>
      <c r="K52">
        <f t="shared" si="3"/>
        <v>0</v>
      </c>
      <c r="Y52" s="5"/>
      <c r="AK52" s="5"/>
      <c r="AO52" s="5"/>
      <c r="AP52"/>
      <c r="AQ52" t="str">
        <f t="shared" si="6"/>
        <v/>
      </c>
      <c r="AS52" s="9"/>
    </row>
    <row r="53" spans="1:45">
      <c r="A53" s="86"/>
      <c r="B53" s="87" t="s">
        <v>387</v>
      </c>
      <c r="C53" s="85">
        <f>IF(ISBLANK(A2),"",(IF(A2&lt;9,F45,C45)))</f>
        <v>0</v>
      </c>
      <c r="G53" s="5"/>
      <c r="H53" s="30" t="s">
        <v>157</v>
      </c>
      <c r="J53" s="5" t="str">
        <f t="shared" si="2"/>
        <v/>
      </c>
      <c r="K53">
        <f t="shared" si="3"/>
        <v>0</v>
      </c>
      <c r="Y53" s="5"/>
      <c r="AK53" s="5"/>
      <c r="AO53" s="5"/>
      <c r="AP53"/>
      <c r="AQ53" t="str">
        <f t="shared" si="6"/>
        <v/>
      </c>
      <c r="AS53" s="9"/>
    </row>
    <row r="54" spans="1:45">
      <c r="A54" s="86"/>
      <c r="B54" s="87" t="s">
        <v>628</v>
      </c>
      <c r="C54" s="85">
        <f>IF(ISBLANK(A2),"",(IF(A2&lt;9,F46,C46)))</f>
        <v>0</v>
      </c>
      <c r="G54" s="5"/>
      <c r="H54" s="30" t="s">
        <v>158</v>
      </c>
      <c r="J54" s="5" t="str">
        <f t="shared" si="2"/>
        <v/>
      </c>
      <c r="K54">
        <f t="shared" si="3"/>
        <v>0</v>
      </c>
      <c r="Y54" s="5"/>
      <c r="AK54" s="5"/>
      <c r="AO54" s="5"/>
      <c r="AP54"/>
      <c r="AQ54">
        <f>SUM(AQ16:AQ53)</f>
        <v>0</v>
      </c>
      <c r="AS54" s="9"/>
    </row>
    <row r="55" spans="1:45">
      <c r="A55" s="86"/>
      <c r="B55" s="84" t="s">
        <v>388</v>
      </c>
      <c r="C55" s="85">
        <f>IF(ISBLANK(A2),"",(IF(A2&lt;9,F47,C47)))</f>
        <v>0</v>
      </c>
      <c r="G55" s="5"/>
      <c r="H55" s="30" t="s">
        <v>159</v>
      </c>
      <c r="J55" s="5" t="str">
        <f t="shared" si="2"/>
        <v/>
      </c>
      <c r="K55">
        <f t="shared" si="3"/>
        <v>0</v>
      </c>
      <c r="Y55" s="5"/>
      <c r="AK55" s="5"/>
      <c r="AP55"/>
      <c r="AS55" s="9"/>
    </row>
    <row r="56" spans="1:45">
      <c r="A56" s="5"/>
      <c r="G56" s="5"/>
      <c r="H56" s="30" t="s">
        <v>160</v>
      </c>
      <c r="J56" s="5" t="str">
        <f t="shared" si="2"/>
        <v/>
      </c>
      <c r="K56">
        <f t="shared" si="3"/>
        <v>0</v>
      </c>
      <c r="AK56" s="5"/>
      <c r="AP56"/>
      <c r="AS56" s="9"/>
    </row>
    <row r="57" spans="1:45">
      <c r="A57" s="5"/>
      <c r="G57" s="5"/>
      <c r="H57" s="30" t="s">
        <v>161</v>
      </c>
      <c r="J57" s="5" t="str">
        <f t="shared" si="2"/>
        <v/>
      </c>
      <c r="K57">
        <f t="shared" si="3"/>
        <v>0</v>
      </c>
      <c r="AK57" s="5"/>
      <c r="AP57"/>
      <c r="AS57" s="9"/>
    </row>
    <row r="58" spans="1:45">
      <c r="A58" s="5"/>
      <c r="G58" s="30" t="s">
        <v>470</v>
      </c>
      <c r="H58" s="30" t="s">
        <v>162</v>
      </c>
      <c r="J58" s="5" t="str">
        <f t="shared" si="2"/>
        <v/>
      </c>
      <c r="K58">
        <f t="shared" si="3"/>
        <v>0</v>
      </c>
      <c r="AK58" s="5"/>
      <c r="AP58"/>
      <c r="AS58" s="9"/>
    </row>
    <row r="59" spans="1:45">
      <c r="A59" s="5"/>
      <c r="G59" s="5"/>
      <c r="H59" s="30" t="s">
        <v>163</v>
      </c>
      <c r="J59" s="5" t="str">
        <f t="shared" si="2"/>
        <v/>
      </c>
      <c r="K59">
        <f t="shared" si="3"/>
        <v>0</v>
      </c>
      <c r="AK59" s="5"/>
      <c r="AP59"/>
      <c r="AS59" s="9"/>
    </row>
    <row r="60" spans="1:45">
      <c r="A60" s="5"/>
      <c r="G60" s="5"/>
      <c r="H60" s="30" t="s">
        <v>164</v>
      </c>
      <c r="J60" s="5" t="str">
        <f t="shared" si="2"/>
        <v/>
      </c>
      <c r="K60">
        <f t="shared" si="3"/>
        <v>0</v>
      </c>
      <c r="AK60" s="5"/>
      <c r="AP60"/>
      <c r="AS60" s="9"/>
    </row>
    <row r="61" spans="1:45">
      <c r="G61" s="5"/>
      <c r="H61" s="30" t="s">
        <v>224</v>
      </c>
      <c r="J61" s="5" t="str">
        <f t="shared" si="2"/>
        <v/>
      </c>
      <c r="K61">
        <f t="shared" si="3"/>
        <v>0</v>
      </c>
      <c r="AK61" s="5"/>
      <c r="AP61"/>
      <c r="AS61" s="9"/>
    </row>
    <row r="62" spans="1:45">
      <c r="G62" s="5"/>
      <c r="H62" s="30" t="s">
        <v>225</v>
      </c>
      <c r="J62" s="5" t="str">
        <f t="shared" si="2"/>
        <v/>
      </c>
      <c r="K62">
        <f t="shared" si="3"/>
        <v>0</v>
      </c>
      <c r="AK62" s="5"/>
      <c r="AP62"/>
      <c r="AS62" s="9"/>
    </row>
    <row r="63" spans="1:45">
      <c r="G63" s="5"/>
      <c r="H63" s="30" t="s">
        <v>226</v>
      </c>
      <c r="J63" s="5" t="str">
        <f t="shared" si="2"/>
        <v/>
      </c>
      <c r="K63">
        <f t="shared" si="3"/>
        <v>0</v>
      </c>
      <c r="AK63" s="5"/>
      <c r="AP63"/>
      <c r="AS63" s="9"/>
    </row>
    <row r="64" spans="1:45">
      <c r="G64" s="30" t="s">
        <v>471</v>
      </c>
      <c r="H64" s="30" t="s">
        <v>227</v>
      </c>
      <c r="J64" s="5" t="str">
        <f t="shared" si="2"/>
        <v/>
      </c>
      <c r="K64">
        <f t="shared" si="3"/>
        <v>0</v>
      </c>
      <c r="AK64" s="5"/>
      <c r="AP64"/>
      <c r="AS64" s="9"/>
    </row>
    <row r="65" spans="7:45">
      <c r="G65" s="5"/>
      <c r="H65" s="30" t="s">
        <v>228</v>
      </c>
      <c r="J65" s="5" t="str">
        <f t="shared" si="2"/>
        <v/>
      </c>
      <c r="K65">
        <f t="shared" si="3"/>
        <v>0</v>
      </c>
      <c r="AK65" s="5"/>
      <c r="AP65"/>
      <c r="AS65" s="9"/>
    </row>
    <row r="66" spans="7:45">
      <c r="G66" s="5"/>
      <c r="H66" s="30" t="s">
        <v>229</v>
      </c>
      <c r="J66" s="5" t="str">
        <f t="shared" si="2"/>
        <v/>
      </c>
      <c r="K66">
        <f t="shared" si="3"/>
        <v>0</v>
      </c>
      <c r="AK66" s="5"/>
      <c r="AP66"/>
      <c r="AS66" s="9"/>
    </row>
    <row r="67" spans="7:45">
      <c r="G67" s="5"/>
      <c r="H67" s="30" t="s">
        <v>230</v>
      </c>
      <c r="J67" s="5" t="str">
        <f t="shared" si="2"/>
        <v/>
      </c>
      <c r="K67">
        <f t="shared" si="3"/>
        <v>0</v>
      </c>
      <c r="AK67" s="5"/>
      <c r="AP67"/>
      <c r="AS67" s="9"/>
    </row>
    <row r="68" spans="7:45">
      <c r="G68" s="5"/>
      <c r="H68" s="30" t="s">
        <v>231</v>
      </c>
      <c r="J68" s="5" t="str">
        <f t="shared" si="2"/>
        <v/>
      </c>
      <c r="K68">
        <f t="shared" si="3"/>
        <v>0</v>
      </c>
      <c r="AK68" s="5"/>
      <c r="AP68"/>
      <c r="AS68" s="9"/>
    </row>
    <row r="69" spans="7:45">
      <c r="G69" s="5"/>
      <c r="H69" s="30" t="s">
        <v>232</v>
      </c>
      <c r="J69" s="5" t="str">
        <f t="shared" si="2"/>
        <v/>
      </c>
      <c r="K69">
        <f t="shared" si="3"/>
        <v>0</v>
      </c>
      <c r="AK69" s="5"/>
      <c r="AP69"/>
      <c r="AS69" s="9"/>
    </row>
    <row r="70" spans="7:45">
      <c r="G70" s="30" t="s">
        <v>527</v>
      </c>
      <c r="H70" s="30" t="s">
        <v>233</v>
      </c>
      <c r="J70" s="5" t="str">
        <f t="shared" si="2"/>
        <v/>
      </c>
      <c r="K70">
        <f t="shared" si="3"/>
        <v>0</v>
      </c>
      <c r="AK70" s="5"/>
      <c r="AP70"/>
      <c r="AS70" s="9"/>
    </row>
    <row r="71" spans="7:45">
      <c r="G71" s="5"/>
      <c r="H71" s="30" t="s">
        <v>234</v>
      </c>
      <c r="J71" s="5" t="str">
        <f t="shared" si="2"/>
        <v/>
      </c>
      <c r="K71">
        <f t="shared" si="3"/>
        <v>0</v>
      </c>
      <c r="AK71" s="5"/>
      <c r="AP71"/>
      <c r="AS71" s="9"/>
    </row>
    <row r="72" spans="7:45">
      <c r="G72" s="5"/>
      <c r="H72" s="30" t="s">
        <v>235</v>
      </c>
      <c r="J72" s="5" t="str">
        <f t="shared" si="2"/>
        <v/>
      </c>
      <c r="K72">
        <f t="shared" si="3"/>
        <v>0</v>
      </c>
      <c r="AK72" s="5"/>
      <c r="AP72"/>
      <c r="AS72" s="9"/>
    </row>
    <row r="73" spans="7:45">
      <c r="G73" s="5"/>
      <c r="H73" s="30" t="s">
        <v>236</v>
      </c>
      <c r="J73" s="5" t="str">
        <f t="shared" si="2"/>
        <v/>
      </c>
      <c r="K73">
        <f t="shared" si="3"/>
        <v>0</v>
      </c>
      <c r="AK73" s="5"/>
      <c r="AP73"/>
      <c r="AS73" s="9"/>
    </row>
    <row r="74" spans="7:45">
      <c r="G74" s="5"/>
      <c r="H74" s="30" t="s">
        <v>237</v>
      </c>
      <c r="J74" s="5" t="str">
        <f t="shared" si="2"/>
        <v/>
      </c>
      <c r="K74">
        <f t="shared" si="3"/>
        <v>0</v>
      </c>
      <c r="AK74" s="5"/>
      <c r="AP74"/>
      <c r="AS74" s="9"/>
    </row>
    <row r="75" spans="7:45">
      <c r="G75" s="5"/>
      <c r="H75" s="30" t="s">
        <v>238</v>
      </c>
      <c r="J75" s="5" t="str">
        <f t="shared" si="2"/>
        <v/>
      </c>
      <c r="K75">
        <f t="shared" si="3"/>
        <v>0</v>
      </c>
      <c r="AK75" s="5"/>
      <c r="AP75"/>
      <c r="AS75" s="9"/>
    </row>
    <row r="76" spans="7:45">
      <c r="G76" s="30" t="s">
        <v>532</v>
      </c>
      <c r="H76" s="30" t="s">
        <v>239</v>
      </c>
      <c r="J76" s="5" t="str">
        <f t="shared" si="2"/>
        <v/>
      </c>
      <c r="K76">
        <f t="shared" si="3"/>
        <v>0</v>
      </c>
      <c r="AP76"/>
      <c r="AS76" s="9"/>
    </row>
    <row r="77" spans="7:45">
      <c r="G77" s="5"/>
      <c r="H77" s="30" t="s">
        <v>240</v>
      </c>
      <c r="J77" s="5" t="str">
        <f t="shared" si="2"/>
        <v/>
      </c>
      <c r="K77">
        <f t="shared" si="3"/>
        <v>0</v>
      </c>
      <c r="AP77"/>
      <c r="AS77" s="9"/>
    </row>
    <row r="78" spans="7:45">
      <c r="G78" s="5"/>
      <c r="H78" s="30" t="s">
        <v>241</v>
      </c>
      <c r="J78" s="5" t="str">
        <f t="shared" si="2"/>
        <v/>
      </c>
      <c r="K78">
        <f t="shared" si="3"/>
        <v>0</v>
      </c>
      <c r="AP78"/>
      <c r="AS78" s="9"/>
    </row>
    <row r="79" spans="7:45">
      <c r="G79" s="5"/>
      <c r="H79" s="30" t="s">
        <v>242</v>
      </c>
      <c r="J79" s="5" t="str">
        <f t="shared" si="2"/>
        <v/>
      </c>
      <c r="K79">
        <f t="shared" si="3"/>
        <v>0</v>
      </c>
      <c r="AP79"/>
      <c r="AS79" s="9"/>
    </row>
    <row r="80" spans="7:45">
      <c r="G80" s="5"/>
      <c r="H80" s="30" t="s">
        <v>243</v>
      </c>
      <c r="J80" s="5" t="str">
        <f t="shared" si="2"/>
        <v/>
      </c>
      <c r="K80">
        <f t="shared" si="3"/>
        <v>0</v>
      </c>
      <c r="AP80"/>
      <c r="AS80" s="9"/>
    </row>
    <row r="81" spans="7:45">
      <c r="G81" s="5"/>
      <c r="H81" s="30" t="s">
        <v>244</v>
      </c>
      <c r="J81" s="5" t="str">
        <f t="shared" ref="J81:J97" si="8">IF(ISBLANK(I81),"",I81-1)</f>
        <v/>
      </c>
      <c r="K81">
        <f t="shared" ref="K81:K99" si="9">IF(ISBLANK(I81),0,1)</f>
        <v>0</v>
      </c>
      <c r="AP81"/>
      <c r="AS81" s="9"/>
    </row>
    <row r="82" spans="7:45">
      <c r="G82" s="30" t="s">
        <v>536</v>
      </c>
      <c r="H82" s="30" t="s">
        <v>245</v>
      </c>
      <c r="J82" s="5" t="str">
        <f t="shared" si="8"/>
        <v/>
      </c>
      <c r="K82">
        <f t="shared" si="9"/>
        <v>0</v>
      </c>
      <c r="AP82"/>
      <c r="AS82" s="9"/>
    </row>
    <row r="83" spans="7:45">
      <c r="G83" s="5"/>
      <c r="H83" s="30" t="s">
        <v>246</v>
      </c>
      <c r="J83" s="5" t="str">
        <f t="shared" si="8"/>
        <v/>
      </c>
      <c r="K83">
        <f t="shared" si="9"/>
        <v>0</v>
      </c>
      <c r="AP83"/>
      <c r="AS83" s="9"/>
    </row>
    <row r="84" spans="7:45">
      <c r="G84" s="5"/>
      <c r="H84" s="30" t="s">
        <v>247</v>
      </c>
      <c r="J84" s="5" t="str">
        <f t="shared" si="8"/>
        <v/>
      </c>
      <c r="K84">
        <f t="shared" si="9"/>
        <v>0</v>
      </c>
      <c r="AP84"/>
      <c r="AS84" s="9"/>
    </row>
    <row r="85" spans="7:45">
      <c r="G85" s="5"/>
      <c r="H85" s="30" t="s">
        <v>248</v>
      </c>
      <c r="J85" s="5" t="str">
        <f t="shared" si="8"/>
        <v/>
      </c>
      <c r="K85">
        <f t="shared" si="9"/>
        <v>0</v>
      </c>
      <c r="AP85"/>
      <c r="AS85" s="9"/>
    </row>
    <row r="86" spans="7:45">
      <c r="G86" s="5"/>
      <c r="H86" s="30" t="s">
        <v>249</v>
      </c>
      <c r="J86" s="5" t="str">
        <f t="shared" si="8"/>
        <v/>
      </c>
      <c r="K86">
        <f t="shared" si="9"/>
        <v>0</v>
      </c>
      <c r="AP86"/>
      <c r="AS86" s="9"/>
    </row>
    <row r="87" spans="7:45">
      <c r="G87" s="5"/>
      <c r="H87" s="30" t="s">
        <v>250</v>
      </c>
      <c r="J87" s="5" t="str">
        <f t="shared" si="8"/>
        <v/>
      </c>
      <c r="K87">
        <f t="shared" si="9"/>
        <v>0</v>
      </c>
      <c r="AP87"/>
      <c r="AS87" s="9"/>
    </row>
    <row r="88" spans="7:45">
      <c r="G88" s="30" t="s">
        <v>561</v>
      </c>
      <c r="H88" s="30" t="s">
        <v>251</v>
      </c>
      <c r="J88" s="5" t="str">
        <f t="shared" si="8"/>
        <v/>
      </c>
      <c r="K88">
        <f t="shared" si="9"/>
        <v>0</v>
      </c>
      <c r="AP88"/>
      <c r="AS88" s="9"/>
    </row>
    <row r="89" spans="7:45">
      <c r="G89" s="5"/>
      <c r="H89" s="30" t="s">
        <v>252</v>
      </c>
      <c r="J89" s="5" t="str">
        <f t="shared" si="8"/>
        <v/>
      </c>
      <c r="K89">
        <f t="shared" si="9"/>
        <v>0</v>
      </c>
      <c r="AP89"/>
      <c r="AS89" s="9"/>
    </row>
    <row r="90" spans="7:45">
      <c r="G90" s="5"/>
      <c r="H90" s="30" t="s">
        <v>253</v>
      </c>
      <c r="J90" s="5" t="str">
        <f t="shared" si="8"/>
        <v/>
      </c>
      <c r="K90">
        <f t="shared" si="9"/>
        <v>0</v>
      </c>
      <c r="AP90"/>
      <c r="AS90" s="9"/>
    </row>
    <row r="91" spans="7:45">
      <c r="G91" s="5"/>
      <c r="H91" s="30" t="s">
        <v>254</v>
      </c>
      <c r="J91" s="5" t="str">
        <f t="shared" si="8"/>
        <v/>
      </c>
      <c r="K91">
        <f t="shared" si="9"/>
        <v>0</v>
      </c>
      <c r="AP91"/>
      <c r="AS91" s="9"/>
    </row>
    <row r="92" spans="7:45">
      <c r="G92" s="5"/>
      <c r="H92" s="30" t="s">
        <v>255</v>
      </c>
      <c r="J92" s="5" t="str">
        <f t="shared" si="8"/>
        <v/>
      </c>
      <c r="K92">
        <f t="shared" si="9"/>
        <v>0</v>
      </c>
      <c r="AP92"/>
      <c r="AS92" s="9"/>
    </row>
    <row r="93" spans="7:45">
      <c r="G93" s="5"/>
      <c r="H93" s="30" t="s">
        <v>256</v>
      </c>
      <c r="J93" s="5" t="str">
        <f t="shared" si="8"/>
        <v/>
      </c>
      <c r="K93">
        <f t="shared" si="9"/>
        <v>0</v>
      </c>
      <c r="AP93"/>
      <c r="AS93" s="9"/>
    </row>
    <row r="94" spans="7:45">
      <c r="G94" s="30" t="s">
        <v>562</v>
      </c>
      <c r="H94" s="30" t="s">
        <v>257</v>
      </c>
      <c r="J94" s="5" t="str">
        <f t="shared" si="8"/>
        <v/>
      </c>
      <c r="K94">
        <f t="shared" si="9"/>
        <v>0</v>
      </c>
      <c r="AP94"/>
      <c r="AS94" s="9"/>
    </row>
    <row r="95" spans="7:45">
      <c r="G95" s="5"/>
      <c r="H95" s="30" t="s">
        <v>258</v>
      </c>
      <c r="J95" s="5" t="str">
        <f t="shared" si="8"/>
        <v/>
      </c>
      <c r="K95">
        <f t="shared" si="9"/>
        <v>0</v>
      </c>
      <c r="AP95"/>
      <c r="AS95" s="9"/>
    </row>
    <row r="96" spans="7:45">
      <c r="G96" s="5"/>
      <c r="H96" s="30" t="s">
        <v>259</v>
      </c>
      <c r="J96" s="5" t="str">
        <f t="shared" si="8"/>
        <v/>
      </c>
      <c r="K96">
        <f t="shared" si="9"/>
        <v>0</v>
      </c>
      <c r="AP96"/>
      <c r="AS96" s="9"/>
    </row>
    <row r="97" spans="4:45">
      <c r="G97" s="5"/>
      <c r="H97" s="30" t="s">
        <v>260</v>
      </c>
      <c r="J97" s="5" t="str">
        <f t="shared" si="8"/>
        <v/>
      </c>
      <c r="K97">
        <f t="shared" si="9"/>
        <v>0</v>
      </c>
      <c r="AP97"/>
      <c r="AS97" s="9"/>
    </row>
    <row r="98" spans="4:45">
      <c r="G98" s="5"/>
      <c r="H98" s="30" t="s">
        <v>261</v>
      </c>
      <c r="J98" s="5">
        <f>IF(I101=TRUE,0,I98-2)</f>
        <v>0</v>
      </c>
      <c r="K98">
        <f t="shared" si="9"/>
        <v>0</v>
      </c>
      <c r="AP98"/>
      <c r="AS98" s="9"/>
    </row>
    <row r="99" spans="4:45">
      <c r="G99" s="5"/>
      <c r="H99" s="30" t="s">
        <v>262</v>
      </c>
      <c r="J99" s="5">
        <f>IF(I100=TRUE,0,I99-2)</f>
        <v>0</v>
      </c>
      <c r="K99">
        <f t="shared" si="9"/>
        <v>0</v>
      </c>
      <c r="AP99"/>
      <c r="AS99" s="9"/>
    </row>
    <row r="100" spans="4:45">
      <c r="G100" s="5"/>
      <c r="I100" t="b">
        <f>IF(I99&lt;3,TRUE,FALSE)</f>
        <v>1</v>
      </c>
      <c r="K100">
        <f>SUM(K16:K99)</f>
        <v>0</v>
      </c>
      <c r="AP100"/>
      <c r="AS100" s="9"/>
    </row>
    <row r="101" spans="4:45">
      <c r="D101" s="5"/>
      <c r="I101" t="b">
        <f>IF(I98&lt;3,TRUE,FALSE)</f>
        <v>1</v>
      </c>
    </row>
    <row r="102" spans="4:45">
      <c r="D102" s="5"/>
    </row>
    <row r="103" spans="4:45">
      <c r="D103" s="5"/>
    </row>
    <row r="104" spans="4:45">
      <c r="D104" s="5"/>
    </row>
    <row r="105" spans="4:45">
      <c r="D105" s="5"/>
    </row>
    <row r="106" spans="4:45">
      <c r="D106" s="5"/>
    </row>
  </sheetData>
  <sheetProtection formatCells="0"/>
  <phoneticPr fontId="7" type="noConversion"/>
  <pageMargins left="0.78740157499999996" right="0.78740157499999996" top="0.984251969" bottom="0.984251969" header="0.4921259845" footer="0.4921259845"/>
  <pageSetup paperSize="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7233" r:id="rId4"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tabColor indexed="61"/>
  </sheetPr>
  <dimension ref="A2:AS106"/>
  <sheetViews>
    <sheetView topLeftCell="A9" workbookViewId="0"/>
  </sheetViews>
  <sheetFormatPr baseColWidth="10" defaultRowHeight="12.75"/>
  <cols>
    <col min="1" max="1" width="13.28515625" customWidth="1"/>
    <col min="3" max="3" width="24.140625" customWidth="1"/>
    <col min="4" max="4" width="16.85546875" customWidth="1"/>
    <col min="6" max="6" width="18.85546875" customWidth="1"/>
    <col min="7" max="7" width="23.28515625" customWidth="1"/>
    <col min="42" max="42" width="11.42578125" style="9"/>
    <col min="45" max="45" width="13" customWidth="1"/>
    <col min="49" max="49" width="14.28515625" customWidth="1"/>
    <col min="52" max="52" width="14.28515625" customWidth="1"/>
  </cols>
  <sheetData>
    <row r="2" spans="1:45">
      <c r="A2" s="3"/>
      <c r="O2" s="3"/>
      <c r="P2" s="3"/>
      <c r="Q2" s="3"/>
      <c r="R2" s="3"/>
      <c r="S2" s="3"/>
      <c r="T2" s="3"/>
      <c r="U2" s="3"/>
      <c r="V2" s="3"/>
      <c r="W2" s="3"/>
      <c r="X2" s="3"/>
      <c r="Y2" s="193"/>
      <c r="Z2" s="3"/>
      <c r="AA2" s="3"/>
      <c r="AB2" s="3"/>
      <c r="AC2" s="3"/>
      <c r="AD2" s="3"/>
      <c r="AE2" s="3"/>
      <c r="AF2" s="3"/>
      <c r="AG2" s="3"/>
      <c r="AH2" s="3"/>
      <c r="AI2" s="3"/>
      <c r="AJ2" s="3"/>
    </row>
    <row r="3" spans="1:45">
      <c r="A3" s="3"/>
      <c r="C3" s="17"/>
      <c r="K3" s="79"/>
      <c r="L3" s="3"/>
      <c r="M3" s="3"/>
      <c r="P3" s="79"/>
      <c r="AK3" s="3"/>
    </row>
    <row r="4" spans="1:45">
      <c r="K4" s="79"/>
      <c r="L4" s="3"/>
      <c r="M4" s="3"/>
      <c r="AK4" s="3"/>
    </row>
    <row r="5" spans="1:45">
      <c r="F5" s="23"/>
      <c r="G5" s="23"/>
      <c r="K5" s="79"/>
      <c r="L5" s="3"/>
      <c r="M5" s="3"/>
    </row>
    <row r="9" spans="1:45">
      <c r="R9" s="248"/>
      <c r="S9" s="248"/>
      <c r="T9" s="248"/>
      <c r="U9" s="249"/>
    </row>
    <row r="10" spans="1:45">
      <c r="R10" s="249"/>
      <c r="S10" s="248"/>
      <c r="T10" s="248"/>
      <c r="U10" s="250"/>
    </row>
    <row r="11" spans="1:45">
      <c r="R11" s="249"/>
      <c r="S11" s="248"/>
      <c r="T11" s="248"/>
      <c r="U11" s="249"/>
    </row>
    <row r="12" spans="1:45">
      <c r="R12" s="248"/>
      <c r="S12" s="248"/>
      <c r="T12" s="248"/>
      <c r="U12" s="249"/>
      <c r="AJ12" s="1"/>
    </row>
    <row r="13" spans="1:45">
      <c r="U13" s="3"/>
      <c r="AJ13" s="1"/>
    </row>
    <row r="14" spans="1:45">
      <c r="AJ14" s="1"/>
    </row>
    <row r="15" spans="1:45" ht="15">
      <c r="A15" s="69"/>
      <c r="D15" s="69"/>
      <c r="G15" s="69"/>
      <c r="N15" s="3"/>
      <c r="P15" s="3"/>
      <c r="S15" s="3"/>
      <c r="T15" s="3"/>
      <c r="AM15" s="1"/>
      <c r="AP15"/>
      <c r="AS15" s="9"/>
    </row>
    <row r="16" spans="1:45">
      <c r="A16" s="30"/>
      <c r="D16" s="3"/>
      <c r="G16" s="30"/>
      <c r="H16" s="30"/>
      <c r="J16" s="5"/>
      <c r="M16" s="5"/>
      <c r="S16" s="5"/>
      <c r="T16" s="3"/>
      <c r="V16" s="5"/>
      <c r="Y16" s="5"/>
      <c r="AB16" s="5"/>
      <c r="AJ16" s="5"/>
      <c r="AK16" s="5"/>
      <c r="AO16" s="5"/>
      <c r="AP16"/>
      <c r="AS16" s="9"/>
    </row>
    <row r="17" spans="1:45">
      <c r="A17" s="30"/>
      <c r="D17" s="3"/>
      <c r="G17" s="5"/>
      <c r="H17" s="30"/>
      <c r="J17" s="5"/>
      <c r="M17" s="5"/>
      <c r="S17" s="5"/>
      <c r="T17" s="3"/>
      <c r="V17" s="5"/>
      <c r="Y17" s="5"/>
      <c r="AB17" s="5"/>
      <c r="AJ17" s="5"/>
      <c r="AK17" s="5"/>
      <c r="AO17" s="5"/>
      <c r="AP17"/>
      <c r="AS17" s="9"/>
    </row>
    <row r="18" spans="1:45">
      <c r="A18" s="30"/>
      <c r="D18" s="3"/>
      <c r="G18" s="5"/>
      <c r="H18" s="30"/>
      <c r="J18" s="5"/>
      <c r="M18" s="5"/>
      <c r="S18" s="5"/>
      <c r="T18" s="3"/>
      <c r="V18" s="5"/>
      <c r="Y18" s="5"/>
      <c r="AB18" s="5"/>
      <c r="AJ18" s="5"/>
      <c r="AK18" s="5"/>
      <c r="AO18" s="5"/>
      <c r="AP18"/>
      <c r="AS18" s="9"/>
    </row>
    <row r="19" spans="1:45">
      <c r="A19" s="30"/>
      <c r="D19" s="3"/>
      <c r="G19" s="5"/>
      <c r="H19" s="30"/>
      <c r="J19" s="5"/>
      <c r="M19" s="5"/>
      <c r="S19" s="5"/>
      <c r="T19" s="3"/>
      <c r="V19" s="5"/>
      <c r="Y19" s="5"/>
      <c r="AB19" s="5"/>
      <c r="AJ19" s="5"/>
      <c r="AK19" s="5"/>
      <c r="AO19" s="5"/>
      <c r="AP19"/>
      <c r="AS19" s="9"/>
    </row>
    <row r="20" spans="1:45">
      <c r="A20" s="30"/>
      <c r="D20" s="3"/>
      <c r="G20" s="5"/>
      <c r="H20" s="30"/>
      <c r="J20" s="5"/>
      <c r="M20" s="5"/>
      <c r="S20" s="5"/>
      <c r="T20" s="3"/>
      <c r="V20" s="5"/>
      <c r="Y20" s="5"/>
      <c r="AB20" s="5"/>
      <c r="AJ20" s="5"/>
      <c r="AK20" s="5"/>
      <c r="AO20" s="5"/>
      <c r="AP20"/>
      <c r="AS20" s="9"/>
    </row>
    <row r="21" spans="1:45">
      <c r="A21" s="30"/>
      <c r="D21" s="3"/>
      <c r="G21" s="5"/>
      <c r="H21" s="30"/>
      <c r="J21" s="5"/>
      <c r="M21" s="5"/>
      <c r="S21" s="5"/>
      <c r="T21" s="3"/>
      <c r="V21" s="5"/>
      <c r="Y21" s="5"/>
      <c r="AB21" s="5"/>
      <c r="AJ21" s="5"/>
      <c r="AK21" s="5"/>
      <c r="AO21" s="5"/>
      <c r="AP21"/>
      <c r="AS21" s="9"/>
    </row>
    <row r="22" spans="1:45">
      <c r="A22" s="30"/>
      <c r="D22" s="3"/>
      <c r="G22" s="30"/>
      <c r="H22" s="30"/>
      <c r="J22" s="5"/>
      <c r="M22" s="5"/>
      <c r="S22" s="5"/>
      <c r="V22" s="5"/>
      <c r="Y22" s="5"/>
      <c r="AB22" s="5"/>
      <c r="AJ22" s="5"/>
      <c r="AK22" s="5"/>
      <c r="AO22" s="5"/>
      <c r="AP22"/>
      <c r="AS22" s="9"/>
    </row>
    <row r="23" spans="1:45">
      <c r="A23" s="30"/>
      <c r="D23" s="3"/>
      <c r="G23" s="5"/>
      <c r="H23" s="30"/>
      <c r="J23" s="5"/>
      <c r="M23" s="5"/>
      <c r="S23" s="5"/>
      <c r="V23" s="5"/>
      <c r="Y23" s="5"/>
      <c r="AB23" s="5"/>
      <c r="AJ23" s="5"/>
      <c r="AK23" s="5"/>
      <c r="AO23" s="5"/>
      <c r="AP23"/>
      <c r="AS23" s="9"/>
    </row>
    <row r="24" spans="1:45">
      <c r="A24" s="30"/>
      <c r="D24" s="3"/>
      <c r="G24" s="5"/>
      <c r="H24" s="30"/>
      <c r="J24" s="5"/>
      <c r="M24" s="5"/>
      <c r="S24" s="5"/>
      <c r="V24" s="5"/>
      <c r="Y24" s="5"/>
      <c r="AB24" s="5"/>
      <c r="AJ24" s="5"/>
      <c r="AK24" s="5"/>
      <c r="AO24" s="5"/>
      <c r="AP24"/>
      <c r="AS24" s="9"/>
    </row>
    <row r="25" spans="1:45">
      <c r="A25" s="30"/>
      <c r="D25" s="3"/>
      <c r="G25" s="5"/>
      <c r="H25" s="30"/>
      <c r="J25" s="5"/>
      <c r="M25" s="5"/>
      <c r="S25" s="5"/>
      <c r="V25" s="5"/>
      <c r="Y25" s="5"/>
      <c r="AB25" s="5"/>
      <c r="AJ25" s="5"/>
      <c r="AK25" s="5"/>
      <c r="AO25" s="5"/>
      <c r="AP25"/>
      <c r="AS25" s="9"/>
    </row>
    <row r="26" spans="1:45">
      <c r="A26" s="30"/>
      <c r="D26" s="3"/>
      <c r="G26" s="5"/>
      <c r="H26" s="30"/>
      <c r="J26" s="5"/>
      <c r="M26" s="5"/>
      <c r="S26" s="5"/>
      <c r="V26" s="5"/>
      <c r="Y26" s="5"/>
      <c r="AB26" s="5"/>
      <c r="AK26" s="5"/>
      <c r="AO26" s="5"/>
      <c r="AP26"/>
      <c r="AS26" s="9"/>
    </row>
    <row r="27" spans="1:45">
      <c r="A27" s="30"/>
      <c r="D27" s="3"/>
      <c r="G27" s="5"/>
      <c r="H27" s="30"/>
      <c r="J27" s="5"/>
      <c r="M27" s="5"/>
      <c r="S27" s="5"/>
      <c r="V27" s="5"/>
      <c r="Y27" s="5"/>
      <c r="AB27" s="5"/>
      <c r="AK27" s="5"/>
      <c r="AO27" s="5"/>
      <c r="AP27"/>
      <c r="AS27" s="9"/>
    </row>
    <row r="28" spans="1:45">
      <c r="A28" s="30"/>
      <c r="D28" s="3"/>
      <c r="G28" s="30"/>
      <c r="H28" s="30"/>
      <c r="J28" s="5"/>
      <c r="M28" s="5"/>
      <c r="S28" s="5"/>
      <c r="V28" s="5"/>
      <c r="Y28" s="5"/>
      <c r="AB28" s="5"/>
      <c r="AK28" s="5"/>
      <c r="AO28" s="5"/>
      <c r="AP28"/>
      <c r="AS28" s="9"/>
    </row>
    <row r="29" spans="1:45">
      <c r="A29" s="30"/>
      <c r="D29" s="3"/>
      <c r="G29" s="5"/>
      <c r="H29" s="30"/>
      <c r="J29" s="5"/>
      <c r="M29" s="5"/>
      <c r="S29" s="5"/>
      <c r="V29" s="5"/>
      <c r="Y29" s="5"/>
      <c r="AB29" s="5"/>
      <c r="AK29" s="5"/>
      <c r="AO29" s="5"/>
      <c r="AP29"/>
      <c r="AS29" s="9"/>
    </row>
    <row r="30" spans="1:45">
      <c r="A30" s="30"/>
      <c r="D30" s="3"/>
      <c r="G30" s="5"/>
      <c r="H30" s="30"/>
      <c r="J30" s="5"/>
      <c r="M30" s="5"/>
      <c r="S30" s="5"/>
      <c r="V30" s="5"/>
      <c r="Y30" s="5"/>
      <c r="AB30" s="5"/>
      <c r="AK30" s="5"/>
      <c r="AO30" s="5"/>
      <c r="AP30"/>
      <c r="AS30" s="9"/>
    </row>
    <row r="31" spans="1:45">
      <c r="A31" s="30"/>
      <c r="D31" s="3"/>
      <c r="G31" s="5"/>
      <c r="H31" s="30"/>
      <c r="J31" s="5"/>
      <c r="M31" s="5"/>
      <c r="S31" s="5"/>
      <c r="V31" s="5"/>
      <c r="Y31" s="5"/>
      <c r="AB31" s="5"/>
      <c r="AK31" s="5"/>
      <c r="AO31" s="5"/>
      <c r="AP31"/>
      <c r="AS31" s="9"/>
    </row>
    <row r="32" spans="1:45">
      <c r="A32" s="30"/>
      <c r="D32" s="3"/>
      <c r="G32" s="5"/>
      <c r="H32" s="30"/>
      <c r="J32" s="5"/>
      <c r="M32" s="5"/>
      <c r="S32" s="5"/>
      <c r="V32" s="5"/>
      <c r="Y32" s="5"/>
      <c r="AB32" s="5"/>
      <c r="AK32" s="5"/>
      <c r="AO32" s="5"/>
      <c r="AP32"/>
      <c r="AS32" s="9"/>
    </row>
    <row r="33" spans="1:45">
      <c r="A33" s="30"/>
      <c r="D33" s="3"/>
      <c r="G33" s="5"/>
      <c r="H33" s="30"/>
      <c r="J33" s="5"/>
      <c r="M33" s="5"/>
      <c r="S33" s="5"/>
      <c r="V33" s="5"/>
      <c r="Y33" s="5"/>
      <c r="AB33" s="5"/>
      <c r="AK33" s="5"/>
      <c r="AO33" s="5"/>
      <c r="AP33"/>
      <c r="AS33" s="9"/>
    </row>
    <row r="34" spans="1:45">
      <c r="A34" s="30"/>
      <c r="D34" s="3"/>
      <c r="G34" s="30"/>
      <c r="H34" s="30"/>
      <c r="J34" s="5"/>
      <c r="M34" s="5"/>
      <c r="S34" s="5"/>
      <c r="V34" s="5"/>
      <c r="Y34" s="5"/>
      <c r="AB34" s="5"/>
      <c r="AK34" s="5"/>
      <c r="AO34" s="5"/>
      <c r="AP34"/>
      <c r="AS34" s="9"/>
    </row>
    <row r="35" spans="1:45">
      <c r="A35" s="30"/>
      <c r="D35" s="3"/>
      <c r="G35" s="5"/>
      <c r="H35" s="30"/>
      <c r="J35" s="5"/>
      <c r="M35" s="5"/>
      <c r="S35" s="5"/>
      <c r="V35" s="5"/>
      <c r="Y35" s="5"/>
      <c r="AB35" s="5"/>
      <c r="AK35" s="5"/>
      <c r="AO35" s="5"/>
      <c r="AP35"/>
      <c r="AS35" s="9"/>
    </row>
    <row r="36" spans="1:45">
      <c r="A36" s="30"/>
      <c r="D36" s="3"/>
      <c r="G36" s="5"/>
      <c r="H36" s="30"/>
      <c r="J36" s="5"/>
      <c r="M36" s="5"/>
      <c r="V36" s="5"/>
      <c r="Y36" s="5"/>
      <c r="AK36" s="5"/>
      <c r="AO36" s="5"/>
      <c r="AP36"/>
      <c r="AS36" s="9"/>
    </row>
    <row r="37" spans="1:45">
      <c r="A37" s="30"/>
      <c r="D37" s="3"/>
      <c r="G37" s="5"/>
      <c r="H37" s="30"/>
      <c r="J37" s="5"/>
      <c r="V37" s="5"/>
      <c r="Y37" s="5"/>
      <c r="AK37" s="5"/>
      <c r="AO37" s="5"/>
      <c r="AP37"/>
      <c r="AS37" s="9"/>
    </row>
    <row r="38" spans="1:45">
      <c r="A38" s="30"/>
      <c r="D38" s="3"/>
      <c r="G38" s="5"/>
      <c r="H38" s="30"/>
      <c r="J38" s="5"/>
      <c r="V38" s="5"/>
      <c r="Y38" s="5"/>
      <c r="AK38" s="5"/>
      <c r="AO38" s="5"/>
      <c r="AP38"/>
      <c r="AS38" s="9"/>
    </row>
    <row r="39" spans="1:45">
      <c r="A39" s="30"/>
      <c r="D39" s="3"/>
      <c r="G39" s="5"/>
      <c r="H39" s="30"/>
      <c r="J39" s="5"/>
      <c r="V39" s="5"/>
      <c r="Y39" s="5"/>
      <c r="AK39" s="5"/>
      <c r="AO39" s="5"/>
      <c r="AP39"/>
      <c r="AS39" s="9"/>
    </row>
    <row r="40" spans="1:45">
      <c r="A40" s="30"/>
      <c r="D40" s="3"/>
      <c r="G40" s="30"/>
      <c r="H40" s="30"/>
      <c r="J40" s="5"/>
      <c r="V40" s="5"/>
      <c r="Y40" s="5"/>
      <c r="AK40" s="5"/>
      <c r="AO40" s="5"/>
      <c r="AP40"/>
      <c r="AS40" s="9"/>
    </row>
    <row r="41" spans="1:45">
      <c r="A41" s="30"/>
      <c r="D41" s="3"/>
      <c r="H41" s="30"/>
      <c r="J41" s="5"/>
      <c r="V41" s="5"/>
      <c r="Y41" s="5"/>
      <c r="AK41" s="5"/>
      <c r="AO41" s="5"/>
      <c r="AP41"/>
      <c r="AS41" s="9"/>
    </row>
    <row r="42" spans="1:45">
      <c r="A42" s="5"/>
      <c r="G42" s="5"/>
      <c r="H42" s="30"/>
      <c r="J42" s="5"/>
      <c r="V42" s="5"/>
      <c r="Y42" s="5"/>
      <c r="AK42" s="5"/>
      <c r="AO42" s="5"/>
      <c r="AP42"/>
      <c r="AS42" s="9"/>
    </row>
    <row r="43" spans="1:45">
      <c r="A43" s="30"/>
      <c r="D43" s="3"/>
      <c r="G43" s="5"/>
      <c r="H43" s="30"/>
      <c r="J43" s="5"/>
      <c r="V43" s="5"/>
      <c r="Y43" s="5"/>
      <c r="AK43" s="5"/>
      <c r="AO43" s="5"/>
      <c r="AP43"/>
      <c r="AS43" s="9"/>
    </row>
    <row r="44" spans="1:45">
      <c r="A44" s="30"/>
      <c r="B44" s="30"/>
      <c r="C44" s="26"/>
      <c r="D44" s="83"/>
      <c r="E44" s="83"/>
      <c r="F44" s="26"/>
      <c r="G44" s="5"/>
      <c r="H44" s="30"/>
      <c r="J44" s="5"/>
      <c r="V44" s="5"/>
      <c r="Y44" s="5"/>
      <c r="AK44" s="5"/>
      <c r="AO44" s="5"/>
      <c r="AP44"/>
      <c r="AS44" s="9"/>
    </row>
    <row r="45" spans="1:45">
      <c r="B45" s="30"/>
      <c r="C45" s="26"/>
      <c r="D45" s="26"/>
      <c r="E45" s="83"/>
      <c r="F45" s="26"/>
      <c r="G45" s="5"/>
      <c r="H45" s="30"/>
      <c r="J45" s="5"/>
      <c r="V45" s="5"/>
      <c r="Y45" s="5"/>
      <c r="AK45" s="5"/>
      <c r="AO45" s="5"/>
      <c r="AP45"/>
      <c r="AS45" s="9"/>
    </row>
    <row r="46" spans="1:45">
      <c r="B46" s="30"/>
      <c r="C46" s="26"/>
      <c r="D46" s="26"/>
      <c r="E46" s="83"/>
      <c r="F46" s="26"/>
      <c r="G46" s="30"/>
      <c r="H46" s="30"/>
      <c r="J46" s="5"/>
      <c r="V46" s="5"/>
      <c r="Y46" s="5"/>
      <c r="AK46" s="5"/>
      <c r="AO46" s="5"/>
      <c r="AP46"/>
      <c r="AS46" s="9"/>
    </row>
    <row r="47" spans="1:45">
      <c r="B47" s="30"/>
      <c r="C47" s="26"/>
      <c r="D47" s="26"/>
      <c r="E47" s="83"/>
      <c r="F47" s="26"/>
      <c r="G47" s="5"/>
      <c r="H47" s="30"/>
      <c r="J47" s="5"/>
      <c r="V47" s="5"/>
      <c r="Y47" s="5"/>
      <c r="AK47" s="5"/>
      <c r="AO47" s="5"/>
      <c r="AP47"/>
      <c r="AS47" s="9"/>
    </row>
    <row r="48" spans="1:45">
      <c r="A48" s="30"/>
      <c r="G48" s="5"/>
      <c r="H48" s="30"/>
      <c r="J48" s="5"/>
      <c r="V48" s="5"/>
      <c r="Y48" s="5"/>
      <c r="AK48" s="5"/>
      <c r="AO48" s="5"/>
      <c r="AP48"/>
      <c r="AS48" s="9"/>
    </row>
    <row r="49" spans="1:45">
      <c r="A49" s="5"/>
      <c r="B49" s="30"/>
      <c r="C49" s="26"/>
      <c r="D49" s="26"/>
      <c r="E49" s="26"/>
      <c r="F49" s="26"/>
      <c r="G49" s="5"/>
      <c r="H49" s="30"/>
      <c r="J49" s="5"/>
      <c r="V49" s="5"/>
      <c r="Y49" s="5"/>
      <c r="AK49" s="5"/>
      <c r="AO49" s="5"/>
      <c r="AP49"/>
      <c r="AS49" s="9"/>
    </row>
    <row r="50" spans="1:45">
      <c r="A50" s="5"/>
      <c r="B50" s="30"/>
      <c r="C50" s="26"/>
      <c r="D50" s="26"/>
      <c r="E50" s="26"/>
      <c r="F50" s="26"/>
      <c r="G50" s="5"/>
      <c r="H50" s="30"/>
      <c r="J50" s="5"/>
      <c r="V50" s="5"/>
      <c r="Y50" s="5"/>
      <c r="AK50" s="5"/>
      <c r="AO50" s="5"/>
      <c r="AP50"/>
      <c r="AS50" s="9"/>
    </row>
    <row r="51" spans="1:45">
      <c r="A51" s="84"/>
      <c r="B51" s="84"/>
      <c r="C51" s="85"/>
      <c r="D51" s="26"/>
      <c r="E51" s="26"/>
      <c r="F51" s="26"/>
      <c r="G51" s="5"/>
      <c r="H51" s="30"/>
      <c r="J51" s="5"/>
      <c r="V51" s="5"/>
      <c r="Y51" s="5"/>
      <c r="AK51" s="5"/>
      <c r="AO51" s="5"/>
      <c r="AP51"/>
      <c r="AS51" s="9"/>
    </row>
    <row r="52" spans="1:45">
      <c r="A52" s="84"/>
      <c r="B52" s="84"/>
      <c r="C52" s="85"/>
      <c r="D52" s="26"/>
      <c r="E52" s="26"/>
      <c r="F52" s="26"/>
      <c r="G52" s="30"/>
      <c r="H52" s="30"/>
      <c r="J52" s="5"/>
      <c r="Y52" s="5"/>
      <c r="AK52" s="5"/>
      <c r="AO52" s="5"/>
      <c r="AP52"/>
      <c r="AS52" s="9"/>
    </row>
    <row r="53" spans="1:45">
      <c r="A53" s="86"/>
      <c r="B53" s="87"/>
      <c r="C53" s="88"/>
      <c r="G53" s="5"/>
      <c r="H53" s="30"/>
      <c r="J53" s="5"/>
      <c r="Y53" s="5"/>
      <c r="AK53" s="5"/>
      <c r="AO53" s="5"/>
      <c r="AP53"/>
      <c r="AS53" s="9"/>
    </row>
    <row r="54" spans="1:45">
      <c r="A54" s="86"/>
      <c r="B54" s="87"/>
      <c r="C54" s="88"/>
      <c r="G54" s="5"/>
      <c r="H54" s="30"/>
      <c r="J54" s="5"/>
      <c r="Y54" s="5"/>
      <c r="AK54" s="5"/>
      <c r="AO54" s="5"/>
      <c r="AP54"/>
      <c r="AS54" s="9"/>
    </row>
    <row r="55" spans="1:45">
      <c r="A55" s="86"/>
      <c r="B55" s="84"/>
      <c r="C55" s="88"/>
      <c r="G55" s="5"/>
      <c r="H55" s="30"/>
      <c r="J55" s="5"/>
      <c r="Y55" s="5"/>
      <c r="AK55" s="5"/>
      <c r="AP55"/>
      <c r="AS55" s="9"/>
    </row>
    <row r="56" spans="1:45">
      <c r="A56" s="5"/>
      <c r="G56" s="5"/>
      <c r="H56" s="30"/>
      <c r="J56" s="5"/>
      <c r="AK56" s="5"/>
      <c r="AP56"/>
      <c r="AS56" s="9"/>
    </row>
    <row r="57" spans="1:45">
      <c r="A57" s="5"/>
      <c r="G57" s="5"/>
      <c r="H57" s="30"/>
      <c r="J57" s="5"/>
      <c r="AK57" s="5"/>
      <c r="AP57"/>
      <c r="AS57" s="9"/>
    </row>
    <row r="58" spans="1:45">
      <c r="A58" s="5"/>
      <c r="G58" s="30"/>
      <c r="H58" s="30"/>
      <c r="J58" s="5"/>
      <c r="AK58" s="5"/>
      <c r="AP58"/>
      <c r="AS58" s="9"/>
    </row>
    <row r="59" spans="1:45">
      <c r="A59" s="5"/>
      <c r="G59" s="5"/>
      <c r="H59" s="30"/>
      <c r="J59" s="5"/>
      <c r="AK59" s="5"/>
      <c r="AP59"/>
      <c r="AS59" s="9"/>
    </row>
    <row r="60" spans="1:45">
      <c r="A60" s="5"/>
      <c r="G60" s="5"/>
      <c r="H60" s="30"/>
      <c r="J60" s="5"/>
      <c r="AK60" s="5"/>
      <c r="AP60"/>
      <c r="AS60" s="9"/>
    </row>
    <row r="61" spans="1:45">
      <c r="G61" s="5"/>
      <c r="H61" s="30"/>
      <c r="J61" s="5"/>
      <c r="AK61" s="5"/>
      <c r="AP61"/>
      <c r="AS61" s="9"/>
    </row>
    <row r="62" spans="1:45">
      <c r="G62" s="5"/>
      <c r="H62" s="30"/>
      <c r="J62" s="5"/>
      <c r="AK62" s="5"/>
      <c r="AP62"/>
      <c r="AS62" s="9"/>
    </row>
    <row r="63" spans="1:45">
      <c r="G63" s="5"/>
      <c r="H63" s="30"/>
      <c r="J63" s="5"/>
      <c r="AK63" s="5"/>
      <c r="AP63"/>
      <c r="AS63" s="9"/>
    </row>
    <row r="64" spans="1:45">
      <c r="G64" s="30"/>
      <c r="H64" s="30"/>
      <c r="J64" s="5"/>
      <c r="AK64" s="5"/>
      <c r="AP64"/>
      <c r="AS64" s="9"/>
    </row>
    <row r="65" spans="7:45">
      <c r="G65" s="5"/>
      <c r="H65" s="30"/>
      <c r="J65" s="5"/>
      <c r="AK65" s="5"/>
      <c r="AP65"/>
      <c r="AS65" s="9"/>
    </row>
    <row r="66" spans="7:45">
      <c r="G66" s="5"/>
      <c r="H66" s="30"/>
      <c r="J66" s="5"/>
      <c r="AK66" s="5"/>
      <c r="AP66"/>
      <c r="AS66" s="9"/>
    </row>
    <row r="67" spans="7:45">
      <c r="G67" s="5"/>
      <c r="H67" s="30"/>
      <c r="J67" s="5"/>
      <c r="AK67" s="5"/>
      <c r="AP67"/>
      <c r="AS67" s="9"/>
    </row>
    <row r="68" spans="7:45">
      <c r="G68" s="5"/>
      <c r="H68" s="30"/>
      <c r="J68" s="5"/>
      <c r="AK68" s="5"/>
      <c r="AP68"/>
      <c r="AS68" s="9"/>
    </row>
    <row r="69" spans="7:45">
      <c r="G69" s="5"/>
      <c r="H69" s="30"/>
      <c r="J69" s="5"/>
      <c r="AK69" s="5"/>
      <c r="AP69"/>
      <c r="AS69" s="9"/>
    </row>
    <row r="70" spans="7:45">
      <c r="G70" s="30"/>
      <c r="H70" s="30"/>
      <c r="J70" s="5"/>
      <c r="AK70" s="5"/>
      <c r="AP70"/>
      <c r="AS70" s="9"/>
    </row>
    <row r="71" spans="7:45">
      <c r="G71" s="5"/>
      <c r="H71" s="30"/>
      <c r="J71" s="5"/>
      <c r="AK71" s="5"/>
      <c r="AP71"/>
      <c r="AS71" s="9"/>
    </row>
    <row r="72" spans="7:45">
      <c r="G72" s="5"/>
      <c r="H72" s="30"/>
      <c r="J72" s="5"/>
      <c r="AK72" s="5"/>
      <c r="AP72"/>
      <c r="AS72" s="9"/>
    </row>
    <row r="73" spans="7:45">
      <c r="G73" s="5"/>
      <c r="H73" s="30"/>
      <c r="J73" s="5"/>
      <c r="AK73" s="5"/>
      <c r="AP73"/>
      <c r="AS73" s="9"/>
    </row>
    <row r="74" spans="7:45">
      <c r="G74" s="5"/>
      <c r="H74" s="30"/>
      <c r="J74" s="5"/>
      <c r="AK74" s="5"/>
      <c r="AP74"/>
      <c r="AS74" s="9"/>
    </row>
    <row r="75" spans="7:45">
      <c r="G75" s="5"/>
      <c r="H75" s="30"/>
      <c r="J75" s="5"/>
      <c r="AK75" s="5"/>
      <c r="AP75"/>
      <c r="AS75" s="9"/>
    </row>
    <row r="76" spans="7:45">
      <c r="G76" s="30"/>
      <c r="H76" s="30"/>
      <c r="J76" s="5"/>
      <c r="AP76"/>
      <c r="AS76" s="9"/>
    </row>
    <row r="77" spans="7:45">
      <c r="G77" s="5"/>
      <c r="H77" s="30"/>
      <c r="J77" s="5"/>
      <c r="AP77"/>
      <c r="AS77" s="9"/>
    </row>
    <row r="78" spans="7:45">
      <c r="G78" s="5"/>
      <c r="H78" s="30"/>
      <c r="J78" s="5"/>
      <c r="AP78"/>
      <c r="AS78" s="9"/>
    </row>
    <row r="79" spans="7:45">
      <c r="G79" s="5"/>
      <c r="H79" s="30"/>
      <c r="J79" s="5"/>
      <c r="AP79"/>
      <c r="AS79" s="9"/>
    </row>
    <row r="80" spans="7:45">
      <c r="G80" s="5"/>
      <c r="H80" s="30"/>
      <c r="J80" s="5"/>
      <c r="AP80"/>
      <c r="AS80" s="9"/>
    </row>
    <row r="81" spans="7:45">
      <c r="G81" s="5"/>
      <c r="H81" s="30"/>
      <c r="J81" s="5"/>
      <c r="AP81"/>
      <c r="AS81" s="9"/>
    </row>
    <row r="82" spans="7:45">
      <c r="G82" s="30"/>
      <c r="H82" s="30"/>
      <c r="J82" s="5"/>
      <c r="AP82"/>
      <c r="AS82" s="9"/>
    </row>
    <row r="83" spans="7:45">
      <c r="G83" s="5"/>
      <c r="H83" s="30"/>
      <c r="J83" s="5"/>
      <c r="AP83"/>
      <c r="AS83" s="9"/>
    </row>
    <row r="84" spans="7:45">
      <c r="G84" s="5"/>
      <c r="H84" s="30"/>
      <c r="J84" s="5"/>
      <c r="AP84"/>
      <c r="AS84" s="9"/>
    </row>
    <row r="85" spans="7:45">
      <c r="G85" s="5"/>
      <c r="H85" s="30"/>
      <c r="J85" s="5"/>
      <c r="AP85"/>
      <c r="AS85" s="9"/>
    </row>
    <row r="86" spans="7:45">
      <c r="G86" s="5"/>
      <c r="H86" s="30"/>
      <c r="J86" s="5"/>
      <c r="AP86"/>
      <c r="AS86" s="9"/>
    </row>
    <row r="87" spans="7:45">
      <c r="G87" s="5"/>
      <c r="H87" s="30"/>
      <c r="J87" s="5"/>
      <c r="AP87"/>
      <c r="AS87" s="9"/>
    </row>
    <row r="88" spans="7:45">
      <c r="G88" s="30"/>
      <c r="H88" s="30"/>
      <c r="J88" s="5"/>
      <c r="AP88"/>
      <c r="AS88" s="9"/>
    </row>
    <row r="89" spans="7:45">
      <c r="G89" s="5"/>
      <c r="H89" s="30"/>
      <c r="J89" s="5"/>
      <c r="AP89"/>
      <c r="AS89" s="9"/>
    </row>
    <row r="90" spans="7:45">
      <c r="G90" s="5"/>
      <c r="H90" s="30"/>
      <c r="J90" s="5"/>
      <c r="AP90"/>
      <c r="AS90" s="9"/>
    </row>
    <row r="91" spans="7:45">
      <c r="G91" s="5"/>
      <c r="H91" s="30"/>
      <c r="J91" s="5"/>
      <c r="AP91"/>
      <c r="AS91" s="9"/>
    </row>
    <row r="92" spans="7:45">
      <c r="G92" s="5"/>
      <c r="H92" s="30"/>
      <c r="J92" s="5"/>
      <c r="AP92"/>
      <c r="AS92" s="9"/>
    </row>
    <row r="93" spans="7:45">
      <c r="G93" s="5"/>
      <c r="H93" s="30"/>
      <c r="J93" s="5"/>
      <c r="AP93"/>
      <c r="AS93" s="9"/>
    </row>
    <row r="94" spans="7:45">
      <c r="G94" s="30"/>
      <c r="H94" s="30"/>
      <c r="J94" s="5"/>
      <c r="AP94"/>
      <c r="AS94" s="9"/>
    </row>
    <row r="95" spans="7:45">
      <c r="G95" s="5"/>
      <c r="H95" s="30"/>
      <c r="J95" s="5"/>
      <c r="AP95"/>
      <c r="AS95" s="9"/>
    </row>
    <row r="96" spans="7:45">
      <c r="G96" s="5"/>
      <c r="H96" s="30"/>
      <c r="J96" s="5"/>
      <c r="AP96"/>
      <c r="AS96" s="9"/>
    </row>
    <row r="97" spans="4:45">
      <c r="G97" s="5"/>
      <c r="H97" s="30"/>
      <c r="J97" s="5"/>
      <c r="AP97"/>
      <c r="AS97" s="9"/>
    </row>
    <row r="98" spans="4:45">
      <c r="G98" s="5"/>
      <c r="H98" s="30"/>
      <c r="J98" s="5"/>
      <c r="AP98"/>
      <c r="AS98" s="9"/>
    </row>
    <row r="99" spans="4:45">
      <c r="G99" s="5"/>
      <c r="H99" s="30"/>
      <c r="J99" s="5"/>
      <c r="AP99"/>
      <c r="AS99" s="9"/>
    </row>
    <row r="100" spans="4:45">
      <c r="G100" s="5"/>
      <c r="AP100"/>
      <c r="AS100" s="9"/>
    </row>
    <row r="101" spans="4:45">
      <c r="D101" s="5"/>
    </row>
    <row r="102" spans="4:45">
      <c r="D102" s="5"/>
    </row>
    <row r="103" spans="4:45">
      <c r="D103" s="5"/>
    </row>
    <row r="104" spans="4:45">
      <c r="D104" s="5"/>
    </row>
    <row r="105" spans="4:45">
      <c r="D105" s="5"/>
    </row>
    <row r="106" spans="4:45">
      <c r="D106" s="5"/>
    </row>
  </sheetData>
  <phoneticPr fontId="7" type="noConversion"/>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6395" r:id="rId3" name="Button 11">
              <controlPr defaultSize="0" print="0" autoFill="0" autoPict="0" macro="[0]!Accueil">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396" r:id="rId4" name="Button 12">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398" r:id="rId5" name="Button 14">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400" r:id="rId6" name="Button 16">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402" r:id="rId7" name="Button 18">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404" r:id="rId8" name="Button 20">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16405" r:id="rId9" name="Button 2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16406" r:id="rId10"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16407" r:id="rId11"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16408" r:id="rId12"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16409" r:id="rId13"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16410" r:id="rId14"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6">
    <tabColor indexed="61"/>
  </sheetPr>
  <dimension ref="A2:AS106"/>
  <sheetViews>
    <sheetView workbookViewId="0"/>
  </sheetViews>
  <sheetFormatPr baseColWidth="10" defaultRowHeight="12.75"/>
  <cols>
    <col min="1" max="1" width="13.28515625" customWidth="1"/>
    <col min="3" max="3" width="24.140625" customWidth="1"/>
    <col min="4" max="4" width="16.85546875" customWidth="1"/>
    <col min="6" max="6" width="18.85546875" customWidth="1"/>
    <col min="7" max="7" width="23.28515625" customWidth="1"/>
    <col min="42" max="42" width="11.42578125" style="9"/>
    <col min="45" max="45" width="13" customWidth="1"/>
    <col min="49" max="49" width="14.28515625" customWidth="1"/>
    <col min="52" max="52" width="14.28515625" customWidth="1"/>
  </cols>
  <sheetData>
    <row r="2" spans="1:45">
      <c r="A2" s="3"/>
      <c r="O2" s="3"/>
      <c r="P2" s="3"/>
      <c r="Q2" s="3"/>
      <c r="R2" s="3"/>
      <c r="S2" s="3"/>
      <c r="T2" s="3"/>
      <c r="U2" s="3"/>
      <c r="V2" s="3"/>
      <c r="W2" s="3"/>
      <c r="X2" s="3"/>
      <c r="Y2" s="193"/>
      <c r="Z2" s="3"/>
      <c r="AA2" s="3"/>
      <c r="AB2" s="3"/>
      <c r="AC2" s="3"/>
      <c r="AD2" s="3"/>
      <c r="AE2" s="3"/>
      <c r="AF2" s="3"/>
      <c r="AG2" s="3"/>
      <c r="AH2" s="3"/>
      <c r="AI2" s="3"/>
      <c r="AJ2" s="3"/>
    </row>
    <row r="3" spans="1:45">
      <c r="A3" s="3"/>
      <c r="C3" s="17"/>
      <c r="K3" s="79"/>
      <c r="L3" s="3"/>
      <c r="M3" s="3"/>
      <c r="P3" s="79"/>
      <c r="AK3" s="3"/>
    </row>
    <row r="4" spans="1:45">
      <c r="K4" s="79"/>
      <c r="L4" s="3"/>
      <c r="M4" s="3"/>
      <c r="AK4" s="3"/>
    </row>
    <row r="5" spans="1:45">
      <c r="F5" s="23"/>
      <c r="G5" s="23"/>
      <c r="K5" s="79"/>
      <c r="L5" s="3"/>
      <c r="M5" s="3"/>
    </row>
    <row r="9" spans="1:45">
      <c r="R9" s="248"/>
      <c r="S9" s="248"/>
      <c r="T9" s="248"/>
      <c r="U9" s="249"/>
    </row>
    <row r="10" spans="1:45">
      <c r="R10" s="249"/>
      <c r="S10" s="248"/>
      <c r="T10" s="248"/>
      <c r="U10" s="250"/>
    </row>
    <row r="11" spans="1:45">
      <c r="R11" s="249"/>
      <c r="S11" s="248"/>
      <c r="T11" s="248"/>
      <c r="U11" s="249"/>
    </row>
    <row r="12" spans="1:45">
      <c r="R12" s="248"/>
      <c r="S12" s="248"/>
      <c r="T12" s="248"/>
      <c r="U12" s="249"/>
      <c r="AJ12" s="1"/>
    </row>
    <row r="13" spans="1:45">
      <c r="U13" s="3"/>
      <c r="AJ13" s="1"/>
    </row>
    <row r="14" spans="1:45">
      <c r="AJ14" s="1"/>
    </row>
    <row r="15" spans="1:45" ht="15">
      <c r="A15" s="69"/>
      <c r="D15" s="69"/>
      <c r="G15" s="69"/>
      <c r="N15" s="3"/>
      <c r="P15" s="3"/>
      <c r="S15" s="3"/>
      <c r="T15" s="3"/>
      <c r="AM15" s="1"/>
      <c r="AP15"/>
      <c r="AS15" s="9"/>
    </row>
    <row r="16" spans="1:45">
      <c r="A16" s="30"/>
      <c r="D16" s="3"/>
      <c r="G16" s="30"/>
      <c r="H16" s="30"/>
      <c r="J16" s="5"/>
      <c r="M16" s="5"/>
      <c r="S16" s="5"/>
      <c r="T16" s="3"/>
      <c r="V16" s="5"/>
      <c r="Y16" s="5"/>
      <c r="AB16" s="5"/>
      <c r="AJ16" s="5"/>
      <c r="AK16" s="5"/>
      <c r="AO16" s="5"/>
      <c r="AP16"/>
      <c r="AS16" s="9"/>
    </row>
    <row r="17" spans="1:45">
      <c r="A17" s="30"/>
      <c r="D17" s="3"/>
      <c r="G17" s="5"/>
      <c r="H17" s="30"/>
      <c r="J17" s="5"/>
      <c r="M17" s="5"/>
      <c r="S17" s="5"/>
      <c r="T17" s="3"/>
      <c r="V17" s="5"/>
      <c r="Y17" s="5"/>
      <c r="AB17" s="5"/>
      <c r="AJ17" s="5"/>
      <c r="AK17" s="5"/>
      <c r="AO17" s="5"/>
      <c r="AP17"/>
      <c r="AS17" s="9"/>
    </row>
    <row r="18" spans="1:45">
      <c r="A18" s="30"/>
      <c r="D18" s="3"/>
      <c r="G18" s="5"/>
      <c r="H18" s="30"/>
      <c r="J18" s="5"/>
      <c r="M18" s="5"/>
      <c r="S18" s="5"/>
      <c r="T18" s="3"/>
      <c r="V18" s="5"/>
      <c r="Y18" s="5"/>
      <c r="AB18" s="5"/>
      <c r="AJ18" s="5"/>
      <c r="AK18" s="5"/>
      <c r="AO18" s="5"/>
      <c r="AP18"/>
      <c r="AS18" s="9"/>
    </row>
    <row r="19" spans="1:45">
      <c r="A19" s="30"/>
      <c r="D19" s="3"/>
      <c r="G19" s="5"/>
      <c r="H19" s="30"/>
      <c r="J19" s="5"/>
      <c r="M19" s="5"/>
      <c r="S19" s="5"/>
      <c r="T19" s="3"/>
      <c r="V19" s="5"/>
      <c r="Y19" s="5"/>
      <c r="AB19" s="5"/>
      <c r="AJ19" s="5"/>
      <c r="AK19" s="5"/>
      <c r="AO19" s="5"/>
      <c r="AP19"/>
      <c r="AS19" s="9"/>
    </row>
    <row r="20" spans="1:45">
      <c r="A20" s="30"/>
      <c r="D20" s="3"/>
      <c r="G20" s="5"/>
      <c r="H20" s="30"/>
      <c r="J20" s="5"/>
      <c r="M20" s="5"/>
      <c r="S20" s="5"/>
      <c r="T20" s="3"/>
      <c r="V20" s="5"/>
      <c r="Y20" s="5"/>
      <c r="AB20" s="5"/>
      <c r="AJ20" s="5"/>
      <c r="AK20" s="5"/>
      <c r="AO20" s="5"/>
      <c r="AP20"/>
      <c r="AS20" s="9"/>
    </row>
    <row r="21" spans="1:45">
      <c r="A21" s="30"/>
      <c r="D21" s="3"/>
      <c r="G21" s="5"/>
      <c r="H21" s="30"/>
      <c r="J21" s="5"/>
      <c r="M21" s="5"/>
      <c r="S21" s="5"/>
      <c r="T21" s="3"/>
      <c r="V21" s="5"/>
      <c r="Y21" s="5"/>
      <c r="AB21" s="5"/>
      <c r="AJ21" s="5"/>
      <c r="AK21" s="5"/>
      <c r="AO21" s="5"/>
      <c r="AP21"/>
      <c r="AS21" s="9"/>
    </row>
    <row r="22" spans="1:45">
      <c r="A22" s="30"/>
      <c r="D22" s="3"/>
      <c r="G22" s="30"/>
      <c r="H22" s="30"/>
      <c r="J22" s="5"/>
      <c r="M22" s="5"/>
      <c r="S22" s="5"/>
      <c r="V22" s="5"/>
      <c r="Y22" s="5"/>
      <c r="AB22" s="5"/>
      <c r="AJ22" s="5"/>
      <c r="AK22" s="5"/>
      <c r="AO22" s="5"/>
      <c r="AP22"/>
      <c r="AS22" s="9"/>
    </row>
    <row r="23" spans="1:45">
      <c r="A23" s="30"/>
      <c r="D23" s="3"/>
      <c r="G23" s="5"/>
      <c r="H23" s="30"/>
      <c r="J23" s="5"/>
      <c r="M23" s="5"/>
      <c r="S23" s="5"/>
      <c r="V23" s="5"/>
      <c r="Y23" s="5"/>
      <c r="AB23" s="5"/>
      <c r="AJ23" s="5"/>
      <c r="AK23" s="5"/>
      <c r="AO23" s="5"/>
      <c r="AP23"/>
      <c r="AS23" s="9"/>
    </row>
    <row r="24" spans="1:45">
      <c r="A24" s="30"/>
      <c r="D24" s="3"/>
      <c r="G24" s="5"/>
      <c r="H24" s="30"/>
      <c r="J24" s="5"/>
      <c r="M24" s="5"/>
      <c r="S24" s="5"/>
      <c r="V24" s="5"/>
      <c r="Y24" s="5"/>
      <c r="AB24" s="5"/>
      <c r="AJ24" s="5"/>
      <c r="AK24" s="5"/>
      <c r="AO24" s="5"/>
      <c r="AP24"/>
      <c r="AS24" s="9"/>
    </row>
    <row r="25" spans="1:45">
      <c r="A25" s="30"/>
      <c r="D25" s="3"/>
      <c r="G25" s="5"/>
      <c r="H25" s="30"/>
      <c r="J25" s="5"/>
      <c r="M25" s="5"/>
      <c r="S25" s="5"/>
      <c r="V25" s="5"/>
      <c r="Y25" s="5"/>
      <c r="AB25" s="5"/>
      <c r="AJ25" s="5"/>
      <c r="AK25" s="5"/>
      <c r="AO25" s="5"/>
      <c r="AP25"/>
      <c r="AS25" s="9"/>
    </row>
    <row r="26" spans="1:45">
      <c r="A26" s="30"/>
      <c r="D26" s="3"/>
      <c r="G26" s="5"/>
      <c r="H26" s="30"/>
      <c r="J26" s="5"/>
      <c r="M26" s="5"/>
      <c r="S26" s="5"/>
      <c r="V26" s="5"/>
      <c r="Y26" s="5"/>
      <c r="AB26" s="5"/>
      <c r="AK26" s="5"/>
      <c r="AO26" s="5"/>
      <c r="AP26"/>
      <c r="AS26" s="9"/>
    </row>
    <row r="27" spans="1:45">
      <c r="A27" s="30"/>
      <c r="D27" s="3"/>
      <c r="G27" s="5"/>
      <c r="H27" s="30"/>
      <c r="J27" s="5"/>
      <c r="M27" s="5"/>
      <c r="S27" s="5"/>
      <c r="V27" s="5"/>
      <c r="Y27" s="5"/>
      <c r="AB27" s="5"/>
      <c r="AK27" s="5"/>
      <c r="AO27" s="5"/>
      <c r="AP27"/>
      <c r="AS27" s="9"/>
    </row>
    <row r="28" spans="1:45">
      <c r="A28" s="30"/>
      <c r="D28" s="3"/>
      <c r="G28" s="30"/>
      <c r="H28" s="30"/>
      <c r="J28" s="5"/>
      <c r="M28" s="5"/>
      <c r="S28" s="5"/>
      <c r="V28" s="5"/>
      <c r="Y28" s="5"/>
      <c r="AB28" s="5"/>
      <c r="AK28" s="5"/>
      <c r="AO28" s="5"/>
      <c r="AP28"/>
      <c r="AS28" s="9"/>
    </row>
    <row r="29" spans="1:45">
      <c r="A29" s="30"/>
      <c r="D29" s="3"/>
      <c r="G29" s="5"/>
      <c r="H29" s="30"/>
      <c r="J29" s="5"/>
      <c r="M29" s="5"/>
      <c r="S29" s="5"/>
      <c r="V29" s="5"/>
      <c r="Y29" s="5"/>
      <c r="AB29" s="5"/>
      <c r="AK29" s="5"/>
      <c r="AO29" s="5"/>
      <c r="AP29"/>
      <c r="AS29" s="9"/>
    </row>
    <row r="30" spans="1:45">
      <c r="A30" s="30"/>
      <c r="D30" s="3"/>
      <c r="G30" s="5"/>
      <c r="H30" s="30"/>
      <c r="J30" s="5"/>
      <c r="M30" s="5"/>
      <c r="S30" s="5"/>
      <c r="V30" s="5"/>
      <c r="Y30" s="5"/>
      <c r="AB30" s="5"/>
      <c r="AK30" s="5"/>
      <c r="AO30" s="5"/>
      <c r="AP30"/>
      <c r="AS30" s="9"/>
    </row>
    <row r="31" spans="1:45">
      <c r="A31" s="30"/>
      <c r="D31" s="3"/>
      <c r="G31" s="5"/>
      <c r="H31" s="30"/>
      <c r="J31" s="5"/>
      <c r="M31" s="5"/>
      <c r="S31" s="5"/>
      <c r="V31" s="5"/>
      <c r="Y31" s="5"/>
      <c r="AB31" s="5"/>
      <c r="AK31" s="5"/>
      <c r="AO31" s="5"/>
      <c r="AP31"/>
      <c r="AS31" s="9"/>
    </row>
    <row r="32" spans="1:45">
      <c r="A32" s="30"/>
      <c r="D32" s="3"/>
      <c r="G32" s="5"/>
      <c r="H32" s="30"/>
      <c r="J32" s="5"/>
      <c r="M32" s="5"/>
      <c r="S32" s="5"/>
      <c r="V32" s="5"/>
      <c r="Y32" s="5"/>
      <c r="AB32" s="5"/>
      <c r="AK32" s="5"/>
      <c r="AO32" s="5"/>
      <c r="AP32"/>
      <c r="AS32" s="9"/>
    </row>
    <row r="33" spans="1:45">
      <c r="A33" s="30"/>
      <c r="D33" s="3"/>
      <c r="G33" s="5"/>
      <c r="H33" s="30"/>
      <c r="J33" s="5"/>
      <c r="M33" s="5"/>
      <c r="S33" s="5"/>
      <c r="V33" s="5"/>
      <c r="Y33" s="5"/>
      <c r="AB33" s="5"/>
      <c r="AK33" s="5"/>
      <c r="AO33" s="5"/>
      <c r="AP33"/>
      <c r="AS33" s="9"/>
    </row>
    <row r="34" spans="1:45">
      <c r="A34" s="30"/>
      <c r="D34" s="3"/>
      <c r="G34" s="30"/>
      <c r="H34" s="30"/>
      <c r="J34" s="5"/>
      <c r="M34" s="5"/>
      <c r="S34" s="5"/>
      <c r="V34" s="5"/>
      <c r="Y34" s="5"/>
      <c r="AB34" s="5"/>
      <c r="AK34" s="5"/>
      <c r="AO34" s="5"/>
      <c r="AP34"/>
      <c r="AS34" s="9"/>
    </row>
    <row r="35" spans="1:45">
      <c r="A35" s="30"/>
      <c r="D35" s="3"/>
      <c r="G35" s="5"/>
      <c r="H35" s="30"/>
      <c r="J35" s="5"/>
      <c r="M35" s="5"/>
      <c r="S35" s="5"/>
      <c r="V35" s="5"/>
      <c r="Y35" s="5"/>
      <c r="AB35" s="5"/>
      <c r="AK35" s="5"/>
      <c r="AO35" s="5"/>
      <c r="AP35"/>
      <c r="AS35" s="9"/>
    </row>
    <row r="36" spans="1:45">
      <c r="A36" s="30"/>
      <c r="D36" s="3"/>
      <c r="G36" s="5"/>
      <c r="H36" s="30"/>
      <c r="J36" s="5"/>
      <c r="M36" s="5"/>
      <c r="V36" s="5"/>
      <c r="Y36" s="5"/>
      <c r="AK36" s="5"/>
      <c r="AO36" s="5"/>
      <c r="AP36"/>
      <c r="AS36" s="9"/>
    </row>
    <row r="37" spans="1:45">
      <c r="A37" s="30"/>
      <c r="D37" s="3"/>
      <c r="G37" s="5"/>
      <c r="H37" s="30"/>
      <c r="J37" s="5"/>
      <c r="V37" s="5"/>
      <c r="Y37" s="5"/>
      <c r="AK37" s="5"/>
      <c r="AO37" s="5"/>
      <c r="AP37"/>
      <c r="AS37" s="9"/>
    </row>
    <row r="38" spans="1:45">
      <c r="A38" s="30"/>
      <c r="D38" s="3"/>
      <c r="G38" s="5"/>
      <c r="H38" s="30"/>
      <c r="J38" s="5"/>
      <c r="V38" s="5"/>
      <c r="Y38" s="5"/>
      <c r="AK38" s="5"/>
      <c r="AO38" s="5"/>
      <c r="AP38"/>
      <c r="AS38" s="9"/>
    </row>
    <row r="39" spans="1:45">
      <c r="A39" s="30"/>
      <c r="D39" s="3"/>
      <c r="G39" s="5"/>
      <c r="H39" s="30"/>
      <c r="J39" s="5"/>
      <c r="V39" s="5"/>
      <c r="Y39" s="5"/>
      <c r="AK39" s="5"/>
      <c r="AO39" s="5"/>
      <c r="AP39"/>
      <c r="AS39" s="9"/>
    </row>
    <row r="40" spans="1:45">
      <c r="A40" s="30"/>
      <c r="D40" s="3"/>
      <c r="G40" s="30"/>
      <c r="H40" s="30"/>
      <c r="J40" s="5"/>
      <c r="V40" s="5"/>
      <c r="Y40" s="5"/>
      <c r="AK40" s="5"/>
      <c r="AO40" s="5"/>
      <c r="AP40"/>
      <c r="AS40" s="9"/>
    </row>
    <row r="41" spans="1:45">
      <c r="A41" s="30"/>
      <c r="D41" s="3"/>
      <c r="H41" s="30"/>
      <c r="J41" s="5"/>
      <c r="V41" s="5"/>
      <c r="Y41" s="5"/>
      <c r="AK41" s="5"/>
      <c r="AO41" s="5"/>
      <c r="AP41"/>
      <c r="AS41" s="9"/>
    </row>
    <row r="42" spans="1:45">
      <c r="A42" s="5"/>
      <c r="G42" s="5"/>
      <c r="H42" s="30"/>
      <c r="J42" s="5"/>
      <c r="V42" s="5"/>
      <c r="Y42" s="5"/>
      <c r="AK42" s="5"/>
      <c r="AO42" s="5"/>
      <c r="AP42"/>
      <c r="AS42" s="9"/>
    </row>
    <row r="43" spans="1:45">
      <c r="A43" s="30"/>
      <c r="D43" s="3"/>
      <c r="G43" s="5"/>
      <c r="H43" s="30"/>
      <c r="J43" s="5"/>
      <c r="V43" s="5"/>
      <c r="Y43" s="5"/>
      <c r="AK43" s="5"/>
      <c r="AO43" s="5"/>
      <c r="AP43"/>
      <c r="AS43" s="9"/>
    </row>
    <row r="44" spans="1:45">
      <c r="A44" s="30"/>
      <c r="B44" s="30"/>
      <c r="C44" s="26"/>
      <c r="D44" s="83"/>
      <c r="E44" s="83"/>
      <c r="F44" s="26"/>
      <c r="G44" s="5"/>
      <c r="H44" s="30"/>
      <c r="J44" s="5"/>
      <c r="V44" s="5"/>
      <c r="Y44" s="5"/>
      <c r="AK44" s="5"/>
      <c r="AO44" s="5"/>
      <c r="AP44"/>
      <c r="AS44" s="9"/>
    </row>
    <row r="45" spans="1:45">
      <c r="B45" s="30"/>
      <c r="C45" s="26"/>
      <c r="D45" s="26"/>
      <c r="E45" s="83"/>
      <c r="F45" s="26"/>
      <c r="G45" s="5"/>
      <c r="H45" s="30"/>
      <c r="J45" s="5"/>
      <c r="V45" s="5"/>
      <c r="Y45" s="5"/>
      <c r="AK45" s="5"/>
      <c r="AO45" s="5"/>
      <c r="AP45"/>
      <c r="AS45" s="9"/>
    </row>
    <row r="46" spans="1:45">
      <c r="B46" s="30"/>
      <c r="C46" s="26"/>
      <c r="D46" s="26"/>
      <c r="E46" s="83"/>
      <c r="F46" s="26"/>
      <c r="G46" s="30"/>
      <c r="H46" s="30"/>
      <c r="J46" s="5"/>
      <c r="V46" s="5"/>
      <c r="Y46" s="5"/>
      <c r="AK46" s="5"/>
      <c r="AO46" s="5"/>
      <c r="AP46"/>
      <c r="AS46" s="9"/>
    </row>
    <row r="47" spans="1:45">
      <c r="B47" s="30"/>
      <c r="C47" s="26"/>
      <c r="D47" s="26"/>
      <c r="E47" s="83"/>
      <c r="F47" s="26"/>
      <c r="G47" s="5"/>
      <c r="H47" s="30"/>
      <c r="J47" s="5"/>
      <c r="V47" s="5"/>
      <c r="Y47" s="5"/>
      <c r="AK47" s="5"/>
      <c r="AO47" s="5"/>
      <c r="AP47"/>
      <c r="AS47" s="9"/>
    </row>
    <row r="48" spans="1:45">
      <c r="A48" s="30"/>
      <c r="G48" s="5"/>
      <c r="H48" s="30"/>
      <c r="J48" s="5"/>
      <c r="V48" s="5"/>
      <c r="Y48" s="5"/>
      <c r="AK48" s="5"/>
      <c r="AO48" s="5"/>
      <c r="AP48"/>
      <c r="AS48" s="9"/>
    </row>
    <row r="49" spans="1:45">
      <c r="A49" s="5"/>
      <c r="B49" s="30"/>
      <c r="C49" s="26"/>
      <c r="D49" s="26"/>
      <c r="E49" s="26"/>
      <c r="F49" s="26"/>
      <c r="G49" s="5"/>
      <c r="H49" s="30"/>
      <c r="J49" s="5"/>
      <c r="V49" s="5"/>
      <c r="Y49" s="5"/>
      <c r="AK49" s="5"/>
      <c r="AO49" s="5"/>
      <c r="AP49"/>
      <c r="AS49" s="9"/>
    </row>
    <row r="50" spans="1:45">
      <c r="A50" s="5"/>
      <c r="B50" s="30"/>
      <c r="C50" s="26"/>
      <c r="D50" s="26"/>
      <c r="E50" s="26"/>
      <c r="F50" s="26"/>
      <c r="G50" s="5"/>
      <c r="H50" s="30"/>
      <c r="J50" s="5"/>
      <c r="V50" s="5"/>
      <c r="Y50" s="5"/>
      <c r="AK50" s="5"/>
      <c r="AO50" s="5"/>
      <c r="AP50"/>
      <c r="AS50" s="9"/>
    </row>
    <row r="51" spans="1:45">
      <c r="A51" s="84"/>
      <c r="B51" s="84"/>
      <c r="C51" s="85"/>
      <c r="D51" s="26"/>
      <c r="E51" s="26"/>
      <c r="F51" s="26"/>
      <c r="G51" s="5"/>
      <c r="H51" s="30"/>
      <c r="J51" s="5"/>
      <c r="V51" s="5"/>
      <c r="Y51" s="5"/>
      <c r="AK51" s="5"/>
      <c r="AO51" s="5"/>
      <c r="AP51"/>
      <c r="AS51" s="9"/>
    </row>
    <row r="52" spans="1:45">
      <c r="A52" s="84"/>
      <c r="B52" s="84"/>
      <c r="C52" s="85"/>
      <c r="D52" s="26"/>
      <c r="E52" s="26"/>
      <c r="F52" s="26"/>
      <c r="G52" s="30"/>
      <c r="H52" s="30"/>
      <c r="J52" s="5"/>
      <c r="Y52" s="5"/>
      <c r="AK52" s="5"/>
      <c r="AO52" s="5"/>
      <c r="AP52"/>
      <c r="AS52" s="9"/>
    </row>
    <row r="53" spans="1:45">
      <c r="A53" s="86"/>
      <c r="B53" s="87"/>
      <c r="C53" s="88"/>
      <c r="G53" s="5"/>
      <c r="H53" s="30"/>
      <c r="J53" s="5"/>
      <c r="Y53" s="5"/>
      <c r="AK53" s="5"/>
      <c r="AO53" s="5"/>
      <c r="AP53"/>
      <c r="AS53" s="9"/>
    </row>
    <row r="54" spans="1:45">
      <c r="A54" s="86"/>
      <c r="B54" s="87"/>
      <c r="C54" s="88"/>
      <c r="G54" s="5"/>
      <c r="H54" s="30"/>
      <c r="J54" s="5"/>
      <c r="Y54" s="5"/>
      <c r="AK54" s="5"/>
      <c r="AO54" s="5"/>
      <c r="AP54"/>
      <c r="AS54" s="9"/>
    </row>
    <row r="55" spans="1:45">
      <c r="A55" s="86"/>
      <c r="B55" s="84"/>
      <c r="C55" s="88"/>
      <c r="G55" s="5"/>
      <c r="H55" s="30"/>
      <c r="J55" s="5"/>
      <c r="Y55" s="5"/>
      <c r="AK55" s="5"/>
      <c r="AP55"/>
      <c r="AS55" s="9"/>
    </row>
    <row r="56" spans="1:45">
      <c r="A56" s="5"/>
      <c r="G56" s="5"/>
      <c r="H56" s="30"/>
      <c r="J56" s="5"/>
      <c r="AK56" s="5"/>
      <c r="AP56"/>
      <c r="AS56" s="9"/>
    </row>
    <row r="57" spans="1:45">
      <c r="A57" s="5"/>
      <c r="G57" s="5"/>
      <c r="H57" s="30"/>
      <c r="J57" s="5"/>
      <c r="AK57" s="5"/>
      <c r="AP57"/>
      <c r="AS57" s="9"/>
    </row>
    <row r="58" spans="1:45">
      <c r="A58" s="5"/>
      <c r="G58" s="30"/>
      <c r="H58" s="30"/>
      <c r="J58" s="5"/>
      <c r="AK58" s="5"/>
      <c r="AP58"/>
      <c r="AS58" s="9"/>
    </row>
    <row r="59" spans="1:45">
      <c r="A59" s="5"/>
      <c r="G59" s="5"/>
      <c r="H59" s="30"/>
      <c r="J59" s="5"/>
      <c r="AK59" s="5"/>
      <c r="AP59"/>
      <c r="AS59" s="9"/>
    </row>
    <row r="60" spans="1:45">
      <c r="A60" s="5"/>
      <c r="G60" s="5"/>
      <c r="H60" s="30"/>
      <c r="J60" s="5"/>
      <c r="AK60" s="5"/>
      <c r="AP60"/>
      <c r="AS60" s="9"/>
    </row>
    <row r="61" spans="1:45">
      <c r="G61" s="5"/>
      <c r="H61" s="30"/>
      <c r="J61" s="5"/>
      <c r="AK61" s="5"/>
      <c r="AP61"/>
      <c r="AS61" s="9"/>
    </row>
    <row r="62" spans="1:45">
      <c r="G62" s="5"/>
      <c r="H62" s="30"/>
      <c r="J62" s="5"/>
      <c r="AK62" s="5"/>
      <c r="AP62"/>
      <c r="AS62" s="9"/>
    </row>
    <row r="63" spans="1:45">
      <c r="G63" s="5"/>
      <c r="H63" s="30"/>
      <c r="J63" s="5"/>
      <c r="AK63" s="5"/>
      <c r="AP63"/>
      <c r="AS63" s="9"/>
    </row>
    <row r="64" spans="1:45">
      <c r="G64" s="30"/>
      <c r="H64" s="30"/>
      <c r="J64" s="5"/>
      <c r="AK64" s="5"/>
      <c r="AP64"/>
      <c r="AS64" s="9"/>
    </row>
    <row r="65" spans="7:45">
      <c r="G65" s="5"/>
      <c r="H65" s="30"/>
      <c r="J65" s="5"/>
      <c r="AK65" s="5"/>
      <c r="AP65"/>
      <c r="AS65" s="9"/>
    </row>
    <row r="66" spans="7:45">
      <c r="G66" s="5"/>
      <c r="H66" s="30"/>
      <c r="J66" s="5"/>
      <c r="AK66" s="5"/>
      <c r="AP66"/>
      <c r="AS66" s="9"/>
    </row>
    <row r="67" spans="7:45">
      <c r="G67" s="5"/>
      <c r="H67" s="30"/>
      <c r="J67" s="5"/>
      <c r="AK67" s="5"/>
      <c r="AP67"/>
      <c r="AS67" s="9"/>
    </row>
    <row r="68" spans="7:45">
      <c r="G68" s="5"/>
      <c r="H68" s="30"/>
      <c r="J68" s="5"/>
      <c r="AK68" s="5"/>
      <c r="AP68"/>
      <c r="AS68" s="9"/>
    </row>
    <row r="69" spans="7:45">
      <c r="G69" s="5"/>
      <c r="H69" s="30"/>
      <c r="J69" s="5"/>
      <c r="AK69" s="5"/>
      <c r="AP69"/>
      <c r="AS69" s="9"/>
    </row>
    <row r="70" spans="7:45">
      <c r="G70" s="30"/>
      <c r="H70" s="30"/>
      <c r="J70" s="5"/>
      <c r="AK70" s="5"/>
      <c r="AP70"/>
      <c r="AS70" s="9"/>
    </row>
    <row r="71" spans="7:45">
      <c r="G71" s="5"/>
      <c r="H71" s="30"/>
      <c r="J71" s="5"/>
      <c r="AK71" s="5"/>
      <c r="AP71"/>
      <c r="AS71" s="9"/>
    </row>
    <row r="72" spans="7:45">
      <c r="G72" s="5"/>
      <c r="H72" s="30"/>
      <c r="J72" s="5"/>
      <c r="AK72" s="5"/>
      <c r="AP72"/>
      <c r="AS72" s="9"/>
    </row>
    <row r="73" spans="7:45">
      <c r="G73" s="5"/>
      <c r="H73" s="30"/>
      <c r="J73" s="5"/>
      <c r="AK73" s="5"/>
      <c r="AP73"/>
      <c r="AS73" s="9"/>
    </row>
    <row r="74" spans="7:45">
      <c r="G74" s="5"/>
      <c r="H74" s="30"/>
      <c r="J74" s="5"/>
      <c r="AK74" s="5"/>
      <c r="AP74"/>
      <c r="AS74" s="9"/>
    </row>
    <row r="75" spans="7:45">
      <c r="G75" s="5"/>
      <c r="H75" s="30"/>
      <c r="J75" s="5"/>
      <c r="AK75" s="5"/>
      <c r="AP75"/>
      <c r="AS75" s="9"/>
    </row>
    <row r="76" spans="7:45">
      <c r="G76" s="30"/>
      <c r="H76" s="30"/>
      <c r="J76" s="5"/>
      <c r="AP76"/>
      <c r="AS76" s="9"/>
    </row>
    <row r="77" spans="7:45">
      <c r="G77" s="5"/>
      <c r="H77" s="30"/>
      <c r="J77" s="5"/>
      <c r="AP77"/>
      <c r="AS77" s="9"/>
    </row>
    <row r="78" spans="7:45">
      <c r="G78" s="5"/>
      <c r="H78" s="30"/>
      <c r="J78" s="5"/>
      <c r="AP78"/>
      <c r="AS78" s="9"/>
    </row>
    <row r="79" spans="7:45">
      <c r="G79" s="5"/>
      <c r="H79" s="30"/>
      <c r="J79" s="5"/>
      <c r="AP79"/>
      <c r="AS79" s="9"/>
    </row>
    <row r="80" spans="7:45">
      <c r="G80" s="5"/>
      <c r="H80" s="30"/>
      <c r="J80" s="5"/>
      <c r="AP80"/>
      <c r="AS80" s="9"/>
    </row>
    <row r="81" spans="7:45">
      <c r="G81" s="5"/>
      <c r="H81" s="30"/>
      <c r="J81" s="5"/>
      <c r="AP81"/>
      <c r="AS81" s="9"/>
    </row>
    <row r="82" spans="7:45">
      <c r="G82" s="30"/>
      <c r="H82" s="30"/>
      <c r="J82" s="5"/>
      <c r="AP82"/>
      <c r="AS82" s="9"/>
    </row>
    <row r="83" spans="7:45">
      <c r="G83" s="5"/>
      <c r="H83" s="30"/>
      <c r="J83" s="5"/>
      <c r="AP83"/>
      <c r="AS83" s="9"/>
    </row>
    <row r="84" spans="7:45">
      <c r="G84" s="5"/>
      <c r="H84" s="30"/>
      <c r="J84" s="5"/>
      <c r="AP84"/>
      <c r="AS84" s="9"/>
    </row>
    <row r="85" spans="7:45">
      <c r="G85" s="5"/>
      <c r="H85" s="30"/>
      <c r="J85" s="5"/>
      <c r="AP85"/>
      <c r="AS85" s="9"/>
    </row>
    <row r="86" spans="7:45">
      <c r="G86" s="5"/>
      <c r="H86" s="30"/>
      <c r="J86" s="5"/>
      <c r="AP86"/>
      <c r="AS86" s="9"/>
    </row>
    <row r="87" spans="7:45">
      <c r="G87" s="5"/>
      <c r="H87" s="30"/>
      <c r="J87" s="5"/>
      <c r="AP87"/>
      <c r="AS87" s="9"/>
    </row>
    <row r="88" spans="7:45">
      <c r="G88" s="30"/>
      <c r="H88" s="30"/>
      <c r="J88" s="5"/>
      <c r="AP88"/>
      <c r="AS88" s="9"/>
    </row>
    <row r="89" spans="7:45">
      <c r="G89" s="5"/>
      <c r="H89" s="30"/>
      <c r="J89" s="5"/>
      <c r="AP89"/>
      <c r="AS89" s="9"/>
    </row>
    <row r="90" spans="7:45">
      <c r="G90" s="5"/>
      <c r="H90" s="30"/>
      <c r="J90" s="5"/>
      <c r="AP90"/>
      <c r="AS90" s="9"/>
    </row>
    <row r="91" spans="7:45">
      <c r="G91" s="5"/>
      <c r="H91" s="30"/>
      <c r="J91" s="5"/>
      <c r="AP91"/>
      <c r="AS91" s="9"/>
    </row>
    <row r="92" spans="7:45">
      <c r="G92" s="5"/>
      <c r="H92" s="30"/>
      <c r="J92" s="5"/>
      <c r="AP92"/>
      <c r="AS92" s="9"/>
    </row>
    <row r="93" spans="7:45">
      <c r="G93" s="5"/>
      <c r="H93" s="30"/>
      <c r="J93" s="5"/>
      <c r="AP93"/>
      <c r="AS93" s="9"/>
    </row>
    <row r="94" spans="7:45">
      <c r="G94" s="30"/>
      <c r="H94" s="30"/>
      <c r="J94" s="5"/>
      <c r="AP94"/>
      <c r="AS94" s="9"/>
    </row>
    <row r="95" spans="7:45">
      <c r="G95" s="5"/>
      <c r="H95" s="30"/>
      <c r="J95" s="5"/>
      <c r="AP95"/>
      <c r="AS95" s="9"/>
    </row>
    <row r="96" spans="7:45">
      <c r="G96" s="5"/>
      <c r="H96" s="30"/>
      <c r="J96" s="5"/>
      <c r="AP96"/>
      <c r="AS96" s="9"/>
    </row>
    <row r="97" spans="4:45">
      <c r="G97" s="5"/>
      <c r="H97" s="30"/>
      <c r="J97" s="5"/>
      <c r="AP97"/>
      <c r="AS97" s="9"/>
    </row>
    <row r="98" spans="4:45">
      <c r="G98" s="5"/>
      <c r="H98" s="30"/>
      <c r="J98" s="5"/>
      <c r="AP98"/>
      <c r="AS98" s="9"/>
    </row>
    <row r="99" spans="4:45">
      <c r="G99" s="5"/>
      <c r="H99" s="30"/>
      <c r="J99" s="5"/>
      <c r="AP99"/>
      <c r="AS99" s="9"/>
    </row>
    <row r="100" spans="4:45">
      <c r="G100" s="5"/>
      <c r="AP100"/>
      <c r="AS100" s="9"/>
    </row>
    <row r="101" spans="4:45">
      <c r="D101" s="5"/>
    </row>
    <row r="102" spans="4:45">
      <c r="D102" s="5"/>
    </row>
    <row r="103" spans="4:45">
      <c r="D103" s="5"/>
    </row>
    <row r="104" spans="4:45">
      <c r="D104" s="5"/>
    </row>
    <row r="105" spans="4:45">
      <c r="D105" s="5"/>
    </row>
    <row r="106" spans="4:45">
      <c r="D106" s="5"/>
    </row>
  </sheetData>
  <phoneticPr fontId="7" type="noConversion"/>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50177" r:id="rId3" name="Button 1">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78" r:id="rId4" name="Button 2">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79" r:id="rId5" name="Button 3">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80" r:id="rId6" name="Button 4">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81" r:id="rId7" name="Button 5">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82" r:id="rId8" name="Button 6">
              <controlPr defaultSize="0" print="0" autoFill="0" autoPict="0">
                <anchor moveWithCells="1" sizeWithCells="1">
                  <from>
                    <xdr:col>9</xdr:col>
                    <xdr:colOff>142875</xdr:colOff>
                    <xdr:row>0</xdr:row>
                    <xdr:rowOff>0</xdr:rowOff>
                  </from>
                  <to>
                    <xdr:col>11</xdr:col>
                    <xdr:colOff>38100</xdr:colOff>
                    <xdr:row>0</xdr:row>
                    <xdr:rowOff>0</xdr:rowOff>
                  </to>
                </anchor>
              </controlPr>
            </control>
          </mc:Choice>
        </mc:AlternateContent>
        <mc:AlternateContent xmlns:mc="http://schemas.openxmlformats.org/markup-compatibility/2006">
          <mc:Choice Requires="x14">
            <control shapeId="50183" r:id="rId9"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50184" r:id="rId10"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50185" r:id="rId11"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7">
    <tabColor indexed="61"/>
  </sheetPr>
  <dimension ref="A2:AS106"/>
  <sheetViews>
    <sheetView workbookViewId="0"/>
  </sheetViews>
  <sheetFormatPr baseColWidth="10" defaultRowHeight="12.75"/>
  <cols>
    <col min="1" max="1" width="13.28515625" customWidth="1"/>
    <col min="3" max="3" width="24.140625" customWidth="1"/>
    <col min="4" max="4" width="16.85546875" customWidth="1"/>
    <col min="6" max="6" width="18.85546875" customWidth="1"/>
    <col min="7" max="7" width="23.28515625" customWidth="1"/>
    <col min="42" max="42" width="11.42578125" style="9"/>
    <col min="45" max="45" width="13" customWidth="1"/>
    <col min="49" max="49" width="14.28515625" customWidth="1"/>
    <col min="52" max="52" width="14.28515625" customWidth="1"/>
  </cols>
  <sheetData>
    <row r="2" spans="1:45">
      <c r="A2" s="3"/>
      <c r="O2" s="3"/>
      <c r="P2" s="3"/>
      <c r="Q2" s="3"/>
      <c r="R2" s="3"/>
      <c r="S2" s="3"/>
      <c r="T2" s="3"/>
      <c r="U2" s="3"/>
      <c r="V2" s="3"/>
      <c r="W2" s="3"/>
      <c r="X2" s="3"/>
      <c r="Y2" s="193"/>
      <c r="Z2" s="3"/>
      <c r="AA2" s="3"/>
      <c r="AB2" s="3"/>
      <c r="AC2" s="3"/>
      <c r="AD2" s="3"/>
      <c r="AE2" s="3"/>
      <c r="AF2" s="3"/>
      <c r="AG2" s="3"/>
      <c r="AH2" s="3"/>
      <c r="AI2" s="3"/>
      <c r="AJ2" s="3"/>
    </row>
    <row r="3" spans="1:45">
      <c r="A3" s="3"/>
      <c r="C3" s="17"/>
      <c r="K3" s="79"/>
      <c r="L3" s="3"/>
      <c r="M3" s="3"/>
      <c r="P3" s="79"/>
      <c r="AK3" s="3"/>
    </row>
    <row r="4" spans="1:45">
      <c r="K4" s="79"/>
      <c r="L4" s="3"/>
      <c r="M4" s="3"/>
      <c r="AK4" s="3"/>
    </row>
    <row r="5" spans="1:45">
      <c r="F5" s="23"/>
      <c r="G5" s="23"/>
      <c r="K5" s="79"/>
      <c r="L5" s="3"/>
      <c r="M5" s="3"/>
    </row>
    <row r="9" spans="1:45">
      <c r="R9" s="248"/>
      <c r="S9" s="248"/>
      <c r="T9" s="248"/>
      <c r="U9" s="249"/>
    </row>
    <row r="10" spans="1:45">
      <c r="R10" s="249"/>
      <c r="S10" s="248"/>
      <c r="T10" s="248"/>
      <c r="U10" s="250"/>
    </row>
    <row r="11" spans="1:45">
      <c r="R11" s="249"/>
      <c r="S11" s="248"/>
      <c r="T11" s="248"/>
      <c r="U11" s="249"/>
    </row>
    <row r="12" spans="1:45">
      <c r="R12" s="248"/>
      <c r="S12" s="248"/>
      <c r="T12" s="248"/>
      <c r="U12" s="249"/>
      <c r="AJ12" s="1"/>
    </row>
    <row r="13" spans="1:45">
      <c r="U13" s="3"/>
      <c r="AJ13" s="1"/>
    </row>
    <row r="14" spans="1:45">
      <c r="AJ14" s="1"/>
    </row>
    <row r="15" spans="1:45" ht="15">
      <c r="A15" s="69"/>
      <c r="D15" s="69"/>
      <c r="G15" s="69"/>
      <c r="N15" s="3"/>
      <c r="P15" s="3"/>
      <c r="S15" s="3"/>
      <c r="T15" s="3"/>
      <c r="AM15" s="1"/>
      <c r="AP15"/>
      <c r="AS15" s="9"/>
    </row>
    <row r="16" spans="1:45">
      <c r="A16" s="30"/>
      <c r="D16" s="3"/>
      <c r="G16" s="30"/>
      <c r="H16" s="30"/>
      <c r="J16" s="5"/>
      <c r="M16" s="5"/>
      <c r="S16" s="5"/>
      <c r="T16" s="3"/>
      <c r="V16" s="5"/>
      <c r="Y16" s="5"/>
      <c r="AB16" s="5"/>
      <c r="AJ16" s="5"/>
      <c r="AK16" s="5"/>
      <c r="AO16" s="5"/>
      <c r="AP16"/>
      <c r="AS16" s="9"/>
    </row>
    <row r="17" spans="1:45">
      <c r="A17" s="30"/>
      <c r="D17" s="3"/>
      <c r="G17" s="5"/>
      <c r="H17" s="30"/>
      <c r="J17" s="5"/>
      <c r="M17" s="5"/>
      <c r="S17" s="5"/>
      <c r="T17" s="3"/>
      <c r="V17" s="5"/>
      <c r="Y17" s="5"/>
      <c r="AB17" s="5"/>
      <c r="AJ17" s="5"/>
      <c r="AK17" s="5"/>
      <c r="AO17" s="5"/>
      <c r="AP17"/>
      <c r="AS17" s="9"/>
    </row>
    <row r="18" spans="1:45">
      <c r="A18" s="30"/>
      <c r="D18" s="3"/>
      <c r="G18" s="5"/>
      <c r="H18" s="30"/>
      <c r="J18" s="5"/>
      <c r="M18" s="5"/>
      <c r="S18" s="5"/>
      <c r="T18" s="3"/>
      <c r="V18" s="5"/>
      <c r="Y18" s="5"/>
      <c r="AB18" s="5"/>
      <c r="AJ18" s="5"/>
      <c r="AK18" s="5"/>
      <c r="AO18" s="5"/>
      <c r="AP18"/>
      <c r="AS18" s="9"/>
    </row>
    <row r="19" spans="1:45">
      <c r="A19" s="30"/>
      <c r="D19" s="3"/>
      <c r="G19" s="5"/>
      <c r="H19" s="30"/>
      <c r="J19" s="5"/>
      <c r="M19" s="5"/>
      <c r="S19" s="5"/>
      <c r="T19" s="3"/>
      <c r="V19" s="5"/>
      <c r="Y19" s="5"/>
      <c r="AB19" s="5"/>
      <c r="AJ19" s="5"/>
      <c r="AK19" s="5"/>
      <c r="AO19" s="5"/>
      <c r="AP19"/>
      <c r="AS19" s="9"/>
    </row>
    <row r="20" spans="1:45">
      <c r="A20" s="30"/>
      <c r="D20" s="3"/>
      <c r="G20" s="5"/>
      <c r="H20" s="30"/>
      <c r="J20" s="5"/>
      <c r="M20" s="5"/>
      <c r="S20" s="5"/>
      <c r="T20" s="3"/>
      <c r="V20" s="5"/>
      <c r="Y20" s="5"/>
      <c r="AB20" s="5"/>
      <c r="AJ20" s="5"/>
      <c r="AK20" s="5"/>
      <c r="AO20" s="5"/>
      <c r="AP20"/>
      <c r="AS20" s="9"/>
    </row>
    <row r="21" spans="1:45">
      <c r="A21" s="30"/>
      <c r="D21" s="3"/>
      <c r="G21" s="5"/>
      <c r="H21" s="30"/>
      <c r="J21" s="5"/>
      <c r="M21" s="5"/>
      <c r="S21" s="5"/>
      <c r="T21" s="3"/>
      <c r="V21" s="5"/>
      <c r="Y21" s="5"/>
      <c r="AB21" s="5"/>
      <c r="AJ21" s="5"/>
      <c r="AK21" s="5"/>
      <c r="AO21" s="5"/>
      <c r="AP21"/>
      <c r="AS21" s="9"/>
    </row>
    <row r="22" spans="1:45">
      <c r="A22" s="30"/>
      <c r="D22" s="3"/>
      <c r="G22" s="30"/>
      <c r="H22" s="30"/>
      <c r="J22" s="5"/>
      <c r="M22" s="5"/>
      <c r="S22" s="5"/>
      <c r="V22" s="5"/>
      <c r="Y22" s="5"/>
      <c r="AB22" s="5"/>
      <c r="AJ22" s="5"/>
      <c r="AK22" s="5"/>
      <c r="AO22" s="5"/>
      <c r="AP22"/>
      <c r="AS22" s="9"/>
    </row>
    <row r="23" spans="1:45">
      <c r="A23" s="30"/>
      <c r="D23" s="3"/>
      <c r="G23" s="5"/>
      <c r="H23" s="30"/>
      <c r="J23" s="5"/>
      <c r="M23" s="5"/>
      <c r="S23" s="5"/>
      <c r="V23" s="5"/>
      <c r="Y23" s="5"/>
      <c r="AB23" s="5"/>
      <c r="AJ23" s="5"/>
      <c r="AK23" s="5"/>
      <c r="AO23" s="5"/>
      <c r="AP23"/>
      <c r="AS23" s="9"/>
    </row>
    <row r="24" spans="1:45">
      <c r="A24" s="30"/>
      <c r="D24" s="3"/>
      <c r="G24" s="5"/>
      <c r="H24" s="30"/>
      <c r="J24" s="5"/>
      <c r="M24" s="5"/>
      <c r="S24" s="5"/>
      <c r="V24" s="5"/>
      <c r="Y24" s="5"/>
      <c r="AB24" s="5"/>
      <c r="AJ24" s="5"/>
      <c r="AK24" s="5"/>
      <c r="AO24" s="5"/>
      <c r="AP24"/>
      <c r="AS24" s="9"/>
    </row>
    <row r="25" spans="1:45">
      <c r="A25" s="30"/>
      <c r="D25" s="3"/>
      <c r="G25" s="5"/>
      <c r="H25" s="30"/>
      <c r="J25" s="5"/>
      <c r="M25" s="5"/>
      <c r="S25" s="5"/>
      <c r="V25" s="5"/>
      <c r="Y25" s="5"/>
      <c r="AB25" s="5"/>
      <c r="AJ25" s="5"/>
      <c r="AK25" s="5"/>
      <c r="AO25" s="5"/>
      <c r="AP25"/>
      <c r="AS25" s="9"/>
    </row>
    <row r="26" spans="1:45">
      <c r="A26" s="30"/>
      <c r="D26" s="3"/>
      <c r="G26" s="5"/>
      <c r="H26" s="30"/>
      <c r="J26" s="5"/>
      <c r="M26" s="5"/>
      <c r="S26" s="5"/>
      <c r="V26" s="5"/>
      <c r="Y26" s="5"/>
      <c r="AB26" s="5"/>
      <c r="AK26" s="5"/>
      <c r="AO26" s="5"/>
      <c r="AP26"/>
      <c r="AS26" s="9"/>
    </row>
    <row r="27" spans="1:45">
      <c r="A27" s="30"/>
      <c r="D27" s="3"/>
      <c r="G27" s="5"/>
      <c r="H27" s="30"/>
      <c r="J27" s="5"/>
      <c r="M27" s="5"/>
      <c r="S27" s="5"/>
      <c r="V27" s="5"/>
      <c r="Y27" s="5"/>
      <c r="AB27" s="5"/>
      <c r="AK27" s="5"/>
      <c r="AO27" s="5"/>
      <c r="AP27"/>
      <c r="AS27" s="9"/>
    </row>
    <row r="28" spans="1:45">
      <c r="A28" s="30"/>
      <c r="D28" s="3"/>
      <c r="G28" s="30"/>
      <c r="H28" s="30"/>
      <c r="J28" s="5"/>
      <c r="M28" s="5"/>
      <c r="S28" s="5"/>
      <c r="V28" s="5"/>
      <c r="Y28" s="5"/>
      <c r="AB28" s="5"/>
      <c r="AK28" s="5"/>
      <c r="AO28" s="5"/>
      <c r="AP28"/>
      <c r="AS28" s="9"/>
    </row>
    <row r="29" spans="1:45">
      <c r="A29" s="30"/>
      <c r="D29" s="3"/>
      <c r="G29" s="5"/>
      <c r="H29" s="30"/>
      <c r="J29" s="5"/>
      <c r="M29" s="5"/>
      <c r="S29" s="5"/>
      <c r="V29" s="5"/>
      <c r="Y29" s="5"/>
      <c r="AB29" s="5"/>
      <c r="AK29" s="5"/>
      <c r="AO29" s="5"/>
      <c r="AP29"/>
      <c r="AS29" s="9"/>
    </row>
    <row r="30" spans="1:45">
      <c r="A30" s="30"/>
      <c r="D30" s="3"/>
      <c r="G30" s="5"/>
      <c r="H30" s="30"/>
      <c r="J30" s="5"/>
      <c r="M30" s="5"/>
      <c r="S30" s="5"/>
      <c r="V30" s="5"/>
      <c r="Y30" s="5"/>
      <c r="AB30" s="5"/>
      <c r="AK30" s="5"/>
      <c r="AO30" s="5"/>
      <c r="AP30"/>
      <c r="AS30" s="9"/>
    </row>
    <row r="31" spans="1:45">
      <c r="A31" s="30"/>
      <c r="D31" s="3"/>
      <c r="G31" s="5"/>
      <c r="H31" s="30"/>
      <c r="J31" s="5"/>
      <c r="M31" s="5"/>
      <c r="S31" s="5"/>
      <c r="V31" s="5"/>
      <c r="Y31" s="5"/>
      <c r="AB31" s="5"/>
      <c r="AK31" s="5"/>
      <c r="AO31" s="5"/>
      <c r="AP31"/>
      <c r="AS31" s="9"/>
    </row>
    <row r="32" spans="1:45">
      <c r="A32" s="30"/>
      <c r="D32" s="3"/>
      <c r="G32" s="5"/>
      <c r="H32" s="30"/>
      <c r="J32" s="5"/>
      <c r="M32" s="5"/>
      <c r="S32" s="5"/>
      <c r="V32" s="5"/>
      <c r="Y32" s="5"/>
      <c r="AB32" s="5"/>
      <c r="AK32" s="5"/>
      <c r="AO32" s="5"/>
      <c r="AP32"/>
      <c r="AS32" s="9"/>
    </row>
    <row r="33" spans="1:45">
      <c r="A33" s="30"/>
      <c r="D33" s="3"/>
      <c r="G33" s="5"/>
      <c r="H33" s="30"/>
      <c r="J33" s="5"/>
      <c r="M33" s="5"/>
      <c r="S33" s="5"/>
      <c r="V33" s="5"/>
      <c r="Y33" s="5"/>
      <c r="AB33" s="5"/>
      <c r="AK33" s="5"/>
      <c r="AO33" s="5"/>
      <c r="AP33"/>
      <c r="AS33" s="9"/>
    </row>
    <row r="34" spans="1:45">
      <c r="A34" s="30"/>
      <c r="D34" s="3"/>
      <c r="G34" s="30"/>
      <c r="H34" s="30"/>
      <c r="J34" s="5"/>
      <c r="M34" s="5"/>
      <c r="S34" s="5"/>
      <c r="V34" s="5"/>
      <c r="Y34" s="5"/>
      <c r="AB34" s="5"/>
      <c r="AK34" s="5"/>
      <c r="AO34" s="5"/>
      <c r="AP34"/>
      <c r="AS34" s="9"/>
    </row>
    <row r="35" spans="1:45">
      <c r="A35" s="30"/>
      <c r="D35" s="3"/>
      <c r="G35" s="5"/>
      <c r="H35" s="30"/>
      <c r="J35" s="5"/>
      <c r="M35" s="5"/>
      <c r="S35" s="5"/>
      <c r="V35" s="5"/>
      <c r="Y35" s="5"/>
      <c r="AB35" s="5"/>
      <c r="AK35" s="5"/>
      <c r="AO35" s="5"/>
      <c r="AP35"/>
      <c r="AS35" s="9"/>
    </row>
    <row r="36" spans="1:45">
      <c r="A36" s="30"/>
      <c r="D36" s="3"/>
      <c r="G36" s="5"/>
      <c r="H36" s="30"/>
      <c r="J36" s="5"/>
      <c r="M36" s="5"/>
      <c r="V36" s="5"/>
      <c r="Y36" s="5"/>
      <c r="AK36" s="5"/>
      <c r="AO36" s="5"/>
      <c r="AP36"/>
      <c r="AS36" s="9"/>
    </row>
    <row r="37" spans="1:45">
      <c r="A37" s="30"/>
      <c r="D37" s="3"/>
      <c r="G37" s="5"/>
      <c r="H37" s="30"/>
      <c r="J37" s="5"/>
      <c r="V37" s="5"/>
      <c r="Y37" s="5"/>
      <c r="AK37" s="5"/>
      <c r="AO37" s="5"/>
      <c r="AP37"/>
      <c r="AS37" s="9"/>
    </row>
    <row r="38" spans="1:45">
      <c r="A38" s="30"/>
      <c r="D38" s="3"/>
      <c r="G38" s="5"/>
      <c r="H38" s="30"/>
      <c r="J38" s="5"/>
      <c r="V38" s="5"/>
      <c r="Y38" s="5"/>
      <c r="AK38" s="5"/>
      <c r="AO38" s="5"/>
      <c r="AP38"/>
      <c r="AS38" s="9"/>
    </row>
    <row r="39" spans="1:45">
      <c r="A39" s="30"/>
      <c r="D39" s="3"/>
      <c r="G39" s="5"/>
      <c r="H39" s="30"/>
      <c r="J39" s="5"/>
      <c r="V39" s="5"/>
      <c r="Y39" s="5"/>
      <c r="AK39" s="5"/>
      <c r="AO39" s="5"/>
      <c r="AP39"/>
      <c r="AS39" s="9"/>
    </row>
    <row r="40" spans="1:45">
      <c r="A40" s="30"/>
      <c r="D40" s="3"/>
      <c r="G40" s="30"/>
      <c r="H40" s="30"/>
      <c r="J40" s="5"/>
      <c r="V40" s="5"/>
      <c r="Y40" s="5"/>
      <c r="AK40" s="5"/>
      <c r="AO40" s="5"/>
      <c r="AP40"/>
      <c r="AS40" s="9"/>
    </row>
    <row r="41" spans="1:45">
      <c r="A41" s="30"/>
      <c r="D41" s="3"/>
      <c r="H41" s="30"/>
      <c r="J41" s="5"/>
      <c r="V41" s="5"/>
      <c r="Y41" s="5"/>
      <c r="AK41" s="5"/>
      <c r="AO41" s="5"/>
      <c r="AP41"/>
      <c r="AS41" s="9"/>
    </row>
    <row r="42" spans="1:45">
      <c r="A42" s="5"/>
      <c r="G42" s="5"/>
      <c r="H42" s="30"/>
      <c r="J42" s="5"/>
      <c r="V42" s="5"/>
      <c r="Y42" s="5"/>
      <c r="AK42" s="5"/>
      <c r="AO42" s="5"/>
      <c r="AP42"/>
      <c r="AS42" s="9"/>
    </row>
    <row r="43" spans="1:45">
      <c r="A43" s="30"/>
      <c r="D43" s="3"/>
      <c r="G43" s="5"/>
      <c r="H43" s="30"/>
      <c r="J43" s="5"/>
      <c r="V43" s="5"/>
      <c r="Y43" s="5"/>
      <c r="AK43" s="5"/>
      <c r="AO43" s="5"/>
      <c r="AP43"/>
      <c r="AS43" s="9"/>
    </row>
    <row r="44" spans="1:45">
      <c r="A44" s="30"/>
      <c r="B44" s="30"/>
      <c r="C44" s="26"/>
      <c r="D44" s="83"/>
      <c r="E44" s="83"/>
      <c r="F44" s="26"/>
      <c r="G44" s="5"/>
      <c r="H44" s="30"/>
      <c r="J44" s="5"/>
      <c r="V44" s="5"/>
      <c r="Y44" s="5"/>
      <c r="AK44" s="5"/>
      <c r="AO44" s="5"/>
      <c r="AP44"/>
      <c r="AS44" s="9"/>
    </row>
    <row r="45" spans="1:45">
      <c r="B45" s="30"/>
      <c r="C45" s="26"/>
      <c r="D45" s="26"/>
      <c r="E45" s="83"/>
      <c r="F45" s="26"/>
      <c r="G45" s="5"/>
      <c r="H45" s="30"/>
      <c r="J45" s="5"/>
      <c r="V45" s="5"/>
      <c r="Y45" s="5"/>
      <c r="AK45" s="5"/>
      <c r="AO45" s="5"/>
      <c r="AP45"/>
      <c r="AS45" s="9"/>
    </row>
    <row r="46" spans="1:45">
      <c r="B46" s="30"/>
      <c r="C46" s="26"/>
      <c r="D46" s="26"/>
      <c r="E46" s="83"/>
      <c r="F46" s="26"/>
      <c r="G46" s="30"/>
      <c r="H46" s="30"/>
      <c r="J46" s="5"/>
      <c r="V46" s="5"/>
      <c r="Y46" s="5"/>
      <c r="AK46" s="5"/>
      <c r="AO46" s="5"/>
      <c r="AP46"/>
      <c r="AS46" s="9"/>
    </row>
    <row r="47" spans="1:45">
      <c r="B47" s="30"/>
      <c r="C47" s="26"/>
      <c r="D47" s="26"/>
      <c r="E47" s="83"/>
      <c r="F47" s="26"/>
      <c r="G47" s="5"/>
      <c r="H47" s="30"/>
      <c r="J47" s="5"/>
      <c r="V47" s="5"/>
      <c r="Y47" s="5"/>
      <c r="AK47" s="5"/>
      <c r="AO47" s="5"/>
      <c r="AP47"/>
      <c r="AS47" s="9"/>
    </row>
    <row r="48" spans="1:45">
      <c r="A48" s="30"/>
      <c r="G48" s="5"/>
      <c r="H48" s="30"/>
      <c r="J48" s="5"/>
      <c r="V48" s="5"/>
      <c r="Y48" s="5"/>
      <c r="AK48" s="5"/>
      <c r="AO48" s="5"/>
      <c r="AP48"/>
      <c r="AS48" s="9"/>
    </row>
    <row r="49" spans="1:45">
      <c r="A49" s="5"/>
      <c r="B49" s="30"/>
      <c r="C49" s="26"/>
      <c r="D49" s="26"/>
      <c r="E49" s="26"/>
      <c r="F49" s="26"/>
      <c r="G49" s="5"/>
      <c r="H49" s="30"/>
      <c r="J49" s="5"/>
      <c r="V49" s="5"/>
      <c r="Y49" s="5"/>
      <c r="AK49" s="5"/>
      <c r="AO49" s="5"/>
      <c r="AP49"/>
      <c r="AS49" s="9"/>
    </row>
    <row r="50" spans="1:45">
      <c r="A50" s="5"/>
      <c r="B50" s="30"/>
      <c r="C50" s="26"/>
      <c r="D50" s="26"/>
      <c r="E50" s="26"/>
      <c r="F50" s="26"/>
      <c r="G50" s="5"/>
      <c r="H50" s="30"/>
      <c r="J50" s="5"/>
      <c r="V50" s="5"/>
      <c r="Y50" s="5"/>
      <c r="AK50" s="5"/>
      <c r="AO50" s="5"/>
      <c r="AP50"/>
      <c r="AS50" s="9"/>
    </row>
    <row r="51" spans="1:45">
      <c r="A51" s="84"/>
      <c r="B51" s="84"/>
      <c r="C51" s="85"/>
      <c r="D51" s="26"/>
      <c r="E51" s="26"/>
      <c r="F51" s="26"/>
      <c r="G51" s="5"/>
      <c r="H51" s="30"/>
      <c r="J51" s="5"/>
      <c r="V51" s="5"/>
      <c r="Y51" s="5"/>
      <c r="AK51" s="5"/>
      <c r="AO51" s="5"/>
      <c r="AP51"/>
      <c r="AS51" s="9"/>
    </row>
    <row r="52" spans="1:45">
      <c r="A52" s="84"/>
      <c r="B52" s="84"/>
      <c r="C52" s="85"/>
      <c r="D52" s="26"/>
      <c r="E52" s="26"/>
      <c r="F52" s="26"/>
      <c r="G52" s="30"/>
      <c r="H52" s="30"/>
      <c r="J52" s="5"/>
      <c r="Y52" s="5"/>
      <c r="AK52" s="5"/>
      <c r="AO52" s="5"/>
      <c r="AP52"/>
      <c r="AS52" s="9"/>
    </row>
    <row r="53" spans="1:45">
      <c r="A53" s="86"/>
      <c r="B53" s="87"/>
      <c r="C53" s="88"/>
      <c r="G53" s="5"/>
      <c r="H53" s="30"/>
      <c r="J53" s="5"/>
      <c r="Y53" s="5"/>
      <c r="AK53" s="5"/>
      <c r="AO53" s="5"/>
      <c r="AP53"/>
      <c r="AS53" s="9"/>
    </row>
    <row r="54" spans="1:45">
      <c r="A54" s="86"/>
      <c r="B54" s="87"/>
      <c r="C54" s="88"/>
      <c r="G54" s="5"/>
      <c r="H54" s="30"/>
      <c r="J54" s="5"/>
      <c r="Y54" s="5"/>
      <c r="AK54" s="5"/>
      <c r="AO54" s="5"/>
      <c r="AP54"/>
      <c r="AS54" s="9"/>
    </row>
    <row r="55" spans="1:45">
      <c r="A55" s="86"/>
      <c r="B55" s="84"/>
      <c r="C55" s="88"/>
      <c r="G55" s="5"/>
      <c r="H55" s="30"/>
      <c r="J55" s="5"/>
      <c r="Y55" s="5"/>
      <c r="AK55" s="5"/>
      <c r="AP55"/>
      <c r="AS55" s="9"/>
    </row>
    <row r="56" spans="1:45">
      <c r="A56" s="5"/>
      <c r="G56" s="5"/>
      <c r="H56" s="30"/>
      <c r="J56" s="5"/>
      <c r="AK56" s="5"/>
      <c r="AP56"/>
      <c r="AS56" s="9"/>
    </row>
    <row r="57" spans="1:45">
      <c r="A57" s="5"/>
      <c r="G57" s="5"/>
      <c r="H57" s="30"/>
      <c r="J57" s="5"/>
      <c r="AK57" s="5"/>
      <c r="AP57"/>
      <c r="AS57" s="9"/>
    </row>
    <row r="58" spans="1:45">
      <c r="A58" s="5"/>
      <c r="G58" s="30"/>
      <c r="H58" s="30"/>
      <c r="J58" s="5"/>
      <c r="AK58" s="5"/>
      <c r="AP58"/>
      <c r="AS58" s="9"/>
    </row>
    <row r="59" spans="1:45">
      <c r="A59" s="5"/>
      <c r="G59" s="5"/>
      <c r="H59" s="30"/>
      <c r="J59" s="5"/>
      <c r="AK59" s="5"/>
      <c r="AP59"/>
      <c r="AS59" s="9"/>
    </row>
    <row r="60" spans="1:45">
      <c r="A60" s="5"/>
      <c r="G60" s="5"/>
      <c r="H60" s="30"/>
      <c r="J60" s="5"/>
      <c r="AK60" s="5"/>
      <c r="AP60"/>
      <c r="AS60" s="9"/>
    </row>
    <row r="61" spans="1:45">
      <c r="G61" s="5"/>
      <c r="H61" s="30"/>
      <c r="J61" s="5"/>
      <c r="AK61" s="5"/>
      <c r="AP61"/>
      <c r="AS61" s="9"/>
    </row>
    <row r="62" spans="1:45">
      <c r="G62" s="5"/>
      <c r="H62" s="30"/>
      <c r="J62" s="5"/>
      <c r="AK62" s="5"/>
      <c r="AP62"/>
      <c r="AS62" s="9"/>
    </row>
    <row r="63" spans="1:45">
      <c r="G63" s="5"/>
      <c r="H63" s="30"/>
      <c r="J63" s="5"/>
      <c r="AK63" s="5"/>
      <c r="AP63"/>
      <c r="AS63" s="9"/>
    </row>
    <row r="64" spans="1:45">
      <c r="G64" s="30"/>
      <c r="H64" s="30"/>
      <c r="J64" s="5"/>
      <c r="AK64" s="5"/>
      <c r="AP64"/>
      <c r="AS64" s="9"/>
    </row>
    <row r="65" spans="7:45">
      <c r="G65" s="5"/>
      <c r="H65" s="30"/>
      <c r="J65" s="5"/>
      <c r="AK65" s="5"/>
      <c r="AP65"/>
      <c r="AS65" s="9"/>
    </row>
    <row r="66" spans="7:45">
      <c r="G66" s="5"/>
      <c r="H66" s="30"/>
      <c r="J66" s="5"/>
      <c r="AK66" s="5"/>
      <c r="AP66"/>
      <c r="AS66" s="9"/>
    </row>
    <row r="67" spans="7:45">
      <c r="G67" s="5"/>
      <c r="H67" s="30"/>
      <c r="J67" s="5"/>
      <c r="AK67" s="5"/>
      <c r="AP67"/>
      <c r="AS67" s="9"/>
    </row>
    <row r="68" spans="7:45">
      <c r="G68" s="5"/>
      <c r="H68" s="30"/>
      <c r="J68" s="5"/>
      <c r="AK68" s="5"/>
      <c r="AP68"/>
      <c r="AS68" s="9"/>
    </row>
    <row r="69" spans="7:45">
      <c r="G69" s="5"/>
      <c r="H69" s="30"/>
      <c r="J69" s="5"/>
      <c r="AK69" s="5"/>
      <c r="AP69"/>
      <c r="AS69" s="9"/>
    </row>
    <row r="70" spans="7:45">
      <c r="G70" s="30"/>
      <c r="H70" s="30"/>
      <c r="J70" s="5"/>
      <c r="AK70" s="5"/>
      <c r="AP70"/>
      <c r="AS70" s="9"/>
    </row>
    <row r="71" spans="7:45">
      <c r="G71" s="5"/>
      <c r="H71" s="30"/>
      <c r="J71" s="5"/>
      <c r="AK71" s="5"/>
      <c r="AP71"/>
      <c r="AS71" s="9"/>
    </row>
    <row r="72" spans="7:45">
      <c r="G72" s="5"/>
      <c r="H72" s="30"/>
      <c r="J72" s="5"/>
      <c r="AK72" s="5"/>
      <c r="AP72"/>
      <c r="AS72" s="9"/>
    </row>
    <row r="73" spans="7:45">
      <c r="G73" s="5"/>
      <c r="H73" s="30"/>
      <c r="J73" s="5"/>
      <c r="AK73" s="5"/>
      <c r="AP73"/>
      <c r="AS73" s="9"/>
    </row>
    <row r="74" spans="7:45">
      <c r="G74" s="5"/>
      <c r="H74" s="30"/>
      <c r="J74" s="5"/>
      <c r="AK74" s="5"/>
      <c r="AP74"/>
      <c r="AS74" s="9"/>
    </row>
    <row r="75" spans="7:45">
      <c r="G75" s="5"/>
      <c r="H75" s="30"/>
      <c r="J75" s="5"/>
      <c r="AK75" s="5"/>
      <c r="AP75"/>
      <c r="AS75" s="9"/>
    </row>
    <row r="76" spans="7:45">
      <c r="G76" s="30"/>
      <c r="H76" s="30"/>
      <c r="J76" s="5"/>
      <c r="AP76"/>
      <c r="AS76" s="9"/>
    </row>
    <row r="77" spans="7:45">
      <c r="G77" s="5"/>
      <c r="H77" s="30"/>
      <c r="J77" s="5"/>
      <c r="AP77"/>
      <c r="AS77" s="9"/>
    </row>
    <row r="78" spans="7:45">
      <c r="G78" s="5"/>
      <c r="H78" s="30"/>
      <c r="J78" s="5"/>
      <c r="AP78"/>
      <c r="AS78" s="9"/>
    </row>
    <row r="79" spans="7:45">
      <c r="G79" s="5"/>
      <c r="H79" s="30"/>
      <c r="J79" s="5"/>
      <c r="AP79"/>
      <c r="AS79" s="9"/>
    </row>
    <row r="80" spans="7:45">
      <c r="G80" s="5"/>
      <c r="H80" s="30"/>
      <c r="J80" s="5"/>
      <c r="AP80"/>
      <c r="AS80" s="9"/>
    </row>
    <row r="81" spans="7:45">
      <c r="G81" s="5"/>
      <c r="H81" s="30"/>
      <c r="J81" s="5"/>
      <c r="AP81"/>
      <c r="AS81" s="9"/>
    </row>
    <row r="82" spans="7:45">
      <c r="G82" s="30"/>
      <c r="H82" s="30"/>
      <c r="J82" s="5"/>
      <c r="AP82"/>
      <c r="AS82" s="9"/>
    </row>
    <row r="83" spans="7:45">
      <c r="G83" s="5"/>
      <c r="H83" s="30"/>
      <c r="J83" s="5"/>
      <c r="AP83"/>
      <c r="AS83" s="9"/>
    </row>
    <row r="84" spans="7:45">
      <c r="G84" s="5"/>
      <c r="H84" s="30"/>
      <c r="J84" s="5"/>
      <c r="AP84"/>
      <c r="AS84" s="9"/>
    </row>
    <row r="85" spans="7:45">
      <c r="G85" s="5"/>
      <c r="H85" s="30"/>
      <c r="J85" s="5"/>
      <c r="AP85"/>
      <c r="AS85" s="9"/>
    </row>
    <row r="86" spans="7:45">
      <c r="G86" s="5"/>
      <c r="H86" s="30"/>
      <c r="J86" s="5"/>
      <c r="AP86"/>
      <c r="AS86" s="9"/>
    </row>
    <row r="87" spans="7:45">
      <c r="G87" s="5"/>
      <c r="H87" s="30"/>
      <c r="J87" s="5"/>
      <c r="AP87"/>
      <c r="AS87" s="9"/>
    </row>
    <row r="88" spans="7:45">
      <c r="G88" s="30"/>
      <c r="H88" s="30"/>
      <c r="J88" s="5"/>
      <c r="AP88"/>
      <c r="AS88" s="9"/>
    </row>
    <row r="89" spans="7:45">
      <c r="G89" s="5"/>
      <c r="H89" s="30"/>
      <c r="J89" s="5"/>
      <c r="AP89"/>
      <c r="AS89" s="9"/>
    </row>
    <row r="90" spans="7:45">
      <c r="G90" s="5"/>
      <c r="H90" s="30"/>
      <c r="J90" s="5"/>
      <c r="AP90"/>
      <c r="AS90" s="9"/>
    </row>
    <row r="91" spans="7:45">
      <c r="G91" s="5"/>
      <c r="H91" s="30"/>
      <c r="J91" s="5"/>
      <c r="AP91"/>
      <c r="AS91" s="9"/>
    </row>
    <row r="92" spans="7:45">
      <c r="G92" s="5"/>
      <c r="H92" s="30"/>
      <c r="J92" s="5"/>
      <c r="AP92"/>
      <c r="AS92" s="9"/>
    </row>
    <row r="93" spans="7:45">
      <c r="G93" s="5"/>
      <c r="H93" s="30"/>
      <c r="J93" s="5"/>
      <c r="AP93"/>
      <c r="AS93" s="9"/>
    </row>
    <row r="94" spans="7:45">
      <c r="G94" s="30"/>
      <c r="H94" s="30"/>
      <c r="J94" s="5"/>
      <c r="AP94"/>
      <c r="AS94" s="9"/>
    </row>
    <row r="95" spans="7:45">
      <c r="G95" s="5"/>
      <c r="H95" s="30"/>
      <c r="J95" s="5"/>
      <c r="AP95"/>
      <c r="AS95" s="9"/>
    </row>
    <row r="96" spans="7:45">
      <c r="G96" s="5"/>
      <c r="H96" s="30"/>
      <c r="J96" s="5"/>
      <c r="AP96"/>
      <c r="AS96" s="9"/>
    </row>
    <row r="97" spans="4:45">
      <c r="G97" s="5"/>
      <c r="H97" s="30"/>
      <c r="J97" s="5"/>
      <c r="AP97"/>
      <c r="AS97" s="9"/>
    </row>
    <row r="98" spans="4:45">
      <c r="G98" s="5"/>
      <c r="H98" s="30"/>
      <c r="J98" s="5"/>
      <c r="AP98"/>
      <c r="AS98" s="9"/>
    </row>
    <row r="99" spans="4:45">
      <c r="G99" s="5"/>
      <c r="H99" s="30"/>
      <c r="J99" s="5"/>
      <c r="AP99"/>
      <c r="AS99" s="9"/>
    </row>
    <row r="100" spans="4:45">
      <c r="G100" s="5"/>
      <c r="AP100"/>
      <c r="AS100" s="9"/>
    </row>
    <row r="101" spans="4:45">
      <c r="D101" s="5"/>
    </row>
    <row r="102" spans="4:45">
      <c r="D102" s="5"/>
    </row>
    <row r="103" spans="4:45">
      <c r="D103" s="5"/>
    </row>
    <row r="104" spans="4:45">
      <c r="D104" s="5"/>
    </row>
    <row r="105" spans="4:45">
      <c r="D105" s="5"/>
    </row>
    <row r="106" spans="4:45">
      <c r="D106" s="5"/>
    </row>
  </sheetData>
  <phoneticPr fontId="7" type="noConversion"/>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34881" r:id="rId3"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mc:AlternateContent xmlns:mc="http://schemas.openxmlformats.org/markup-compatibility/2006">
          <mc:Choice Requires="x14">
            <control shapeId="634882" r:id="rId4"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8">
    <tabColor indexed="61"/>
  </sheetPr>
  <dimension ref="A2:AS106"/>
  <sheetViews>
    <sheetView workbookViewId="0"/>
  </sheetViews>
  <sheetFormatPr baseColWidth="10" defaultRowHeight="12.75"/>
  <cols>
    <col min="1" max="1" width="13.28515625" customWidth="1"/>
    <col min="3" max="3" width="24.140625" customWidth="1"/>
    <col min="4" max="4" width="16.85546875" customWidth="1"/>
    <col min="6" max="6" width="18.85546875" customWidth="1"/>
    <col min="7" max="7" width="23.28515625" customWidth="1"/>
    <col min="42" max="42" width="11.42578125" style="9"/>
    <col min="45" max="45" width="13" customWidth="1"/>
    <col min="49" max="49" width="14.28515625" customWidth="1"/>
    <col min="52" max="52" width="14.28515625" customWidth="1"/>
  </cols>
  <sheetData>
    <row r="2" spans="1:45">
      <c r="A2" s="3"/>
      <c r="O2" s="3"/>
      <c r="P2" s="3"/>
      <c r="Q2" s="3"/>
      <c r="R2" s="3"/>
      <c r="S2" s="3"/>
      <c r="T2" s="3"/>
      <c r="U2" s="3"/>
      <c r="V2" s="3"/>
      <c r="W2" s="3"/>
      <c r="X2" s="3"/>
      <c r="Y2" s="193"/>
      <c r="Z2" s="3"/>
      <c r="AA2" s="3"/>
      <c r="AB2" s="3"/>
      <c r="AC2" s="3"/>
      <c r="AD2" s="3"/>
      <c r="AE2" s="3"/>
      <c r="AF2" s="3"/>
      <c r="AG2" s="3"/>
      <c r="AH2" s="3"/>
      <c r="AI2" s="3"/>
      <c r="AJ2" s="3"/>
    </row>
    <row r="3" spans="1:45">
      <c r="A3" s="3"/>
      <c r="C3" s="17"/>
      <c r="K3" s="79"/>
      <c r="L3" s="3"/>
      <c r="M3" s="3"/>
      <c r="P3" s="79"/>
      <c r="AK3" s="3"/>
    </row>
    <row r="4" spans="1:45">
      <c r="K4" s="79"/>
      <c r="L4" s="3"/>
      <c r="M4" s="3"/>
      <c r="AK4" s="3"/>
    </row>
    <row r="5" spans="1:45">
      <c r="F5" s="23"/>
      <c r="G5" s="23"/>
      <c r="K5" s="79"/>
      <c r="L5" s="3"/>
      <c r="M5" s="3"/>
    </row>
    <row r="9" spans="1:45">
      <c r="R9" s="248"/>
      <c r="S9" s="248"/>
      <c r="T9" s="248"/>
      <c r="U9" s="249"/>
    </row>
    <row r="10" spans="1:45">
      <c r="R10" s="249"/>
      <c r="S10" s="248"/>
      <c r="T10" s="248"/>
      <c r="U10" s="250"/>
    </row>
    <row r="11" spans="1:45">
      <c r="R11" s="249"/>
      <c r="S11" s="248"/>
      <c r="T11" s="248"/>
      <c r="U11" s="249"/>
    </row>
    <row r="12" spans="1:45">
      <c r="R12" s="248"/>
      <c r="S12" s="248"/>
      <c r="T12" s="248"/>
      <c r="U12" s="249"/>
      <c r="AJ12" s="1"/>
    </row>
    <row r="13" spans="1:45">
      <c r="U13" s="3"/>
      <c r="AJ13" s="1"/>
    </row>
    <row r="14" spans="1:45">
      <c r="AJ14" s="1"/>
    </row>
    <row r="15" spans="1:45" ht="15">
      <c r="A15" s="69"/>
      <c r="D15" s="69"/>
      <c r="G15" s="69"/>
      <c r="N15" s="3"/>
      <c r="P15" s="3"/>
      <c r="S15" s="3"/>
      <c r="T15" s="3"/>
      <c r="AM15" s="1"/>
      <c r="AP15"/>
      <c r="AS15" s="9"/>
    </row>
    <row r="16" spans="1:45">
      <c r="A16" s="30"/>
      <c r="D16" s="3"/>
      <c r="G16" s="30"/>
      <c r="H16" s="30"/>
      <c r="J16" s="5"/>
      <c r="M16" s="5"/>
      <c r="S16" s="5"/>
      <c r="T16" s="3"/>
      <c r="V16" s="5"/>
      <c r="Y16" s="5"/>
      <c r="AB16" s="5"/>
      <c r="AJ16" s="5"/>
      <c r="AK16" s="5"/>
      <c r="AO16" s="5"/>
      <c r="AP16"/>
      <c r="AS16" s="9"/>
    </row>
    <row r="17" spans="1:45">
      <c r="A17" s="30"/>
      <c r="D17" s="3"/>
      <c r="G17" s="5"/>
      <c r="H17" s="30"/>
      <c r="J17" s="5"/>
      <c r="M17" s="5"/>
      <c r="S17" s="5"/>
      <c r="T17" s="3"/>
      <c r="V17" s="5"/>
      <c r="Y17" s="5"/>
      <c r="AB17" s="5"/>
      <c r="AJ17" s="5"/>
      <c r="AK17" s="5"/>
      <c r="AO17" s="5"/>
      <c r="AP17"/>
      <c r="AS17" s="9"/>
    </row>
    <row r="18" spans="1:45">
      <c r="A18" s="30"/>
      <c r="D18" s="3"/>
      <c r="G18" s="5"/>
      <c r="H18" s="30"/>
      <c r="J18" s="5"/>
      <c r="M18" s="5"/>
      <c r="S18" s="5"/>
      <c r="T18" s="3"/>
      <c r="V18" s="5"/>
      <c r="Y18" s="5"/>
      <c r="AB18" s="5"/>
      <c r="AJ18" s="5"/>
      <c r="AK18" s="5"/>
      <c r="AO18" s="5"/>
      <c r="AP18"/>
      <c r="AS18" s="9"/>
    </row>
    <row r="19" spans="1:45">
      <c r="A19" s="30"/>
      <c r="D19" s="3"/>
      <c r="G19" s="5"/>
      <c r="H19" s="30"/>
      <c r="J19" s="5"/>
      <c r="M19" s="5"/>
      <c r="S19" s="5"/>
      <c r="T19" s="3"/>
      <c r="V19" s="5"/>
      <c r="Y19" s="5"/>
      <c r="AB19" s="5"/>
      <c r="AJ19" s="5"/>
      <c r="AK19" s="5"/>
      <c r="AO19" s="5"/>
      <c r="AP19"/>
      <c r="AS19" s="9"/>
    </row>
    <row r="20" spans="1:45">
      <c r="A20" s="30"/>
      <c r="D20" s="3"/>
      <c r="G20" s="5"/>
      <c r="H20" s="30"/>
      <c r="J20" s="5"/>
      <c r="M20" s="5"/>
      <c r="S20" s="5"/>
      <c r="T20" s="3"/>
      <c r="V20" s="5"/>
      <c r="Y20" s="5"/>
      <c r="AB20" s="5"/>
      <c r="AJ20" s="5"/>
      <c r="AK20" s="5"/>
      <c r="AO20" s="5"/>
      <c r="AP20"/>
      <c r="AS20" s="9"/>
    </row>
    <row r="21" spans="1:45">
      <c r="A21" s="30"/>
      <c r="D21" s="3"/>
      <c r="G21" s="5"/>
      <c r="H21" s="30"/>
      <c r="J21" s="5"/>
      <c r="M21" s="5"/>
      <c r="S21" s="5"/>
      <c r="T21" s="3"/>
      <c r="V21" s="5"/>
      <c r="Y21" s="5"/>
      <c r="AB21" s="5"/>
      <c r="AJ21" s="5"/>
      <c r="AK21" s="5"/>
      <c r="AO21" s="5"/>
      <c r="AP21"/>
      <c r="AS21" s="9"/>
    </row>
    <row r="22" spans="1:45">
      <c r="A22" s="30"/>
      <c r="D22" s="3"/>
      <c r="G22" s="30"/>
      <c r="H22" s="30"/>
      <c r="J22" s="5"/>
      <c r="M22" s="5"/>
      <c r="S22" s="5"/>
      <c r="V22" s="5"/>
      <c r="Y22" s="5"/>
      <c r="AB22" s="5"/>
      <c r="AJ22" s="5"/>
      <c r="AK22" s="5"/>
      <c r="AO22" s="5"/>
      <c r="AP22"/>
      <c r="AS22" s="9"/>
    </row>
    <row r="23" spans="1:45">
      <c r="A23" s="30"/>
      <c r="D23" s="3"/>
      <c r="G23" s="5"/>
      <c r="H23" s="30"/>
      <c r="J23" s="5"/>
      <c r="M23" s="5"/>
      <c r="S23" s="5"/>
      <c r="V23" s="5"/>
      <c r="Y23" s="5"/>
      <c r="AB23" s="5"/>
      <c r="AJ23" s="5"/>
      <c r="AK23" s="5"/>
      <c r="AO23" s="5"/>
      <c r="AP23"/>
      <c r="AS23" s="9"/>
    </row>
    <row r="24" spans="1:45">
      <c r="A24" s="30"/>
      <c r="D24" s="3"/>
      <c r="G24" s="5"/>
      <c r="H24" s="30"/>
      <c r="J24" s="5"/>
      <c r="M24" s="5"/>
      <c r="S24" s="5"/>
      <c r="V24" s="5"/>
      <c r="Y24" s="5"/>
      <c r="AB24" s="5"/>
      <c r="AJ24" s="5"/>
      <c r="AK24" s="5"/>
      <c r="AO24" s="5"/>
      <c r="AP24"/>
      <c r="AS24" s="9"/>
    </row>
    <row r="25" spans="1:45">
      <c r="A25" s="30"/>
      <c r="D25" s="3"/>
      <c r="G25" s="5"/>
      <c r="H25" s="30"/>
      <c r="J25" s="5"/>
      <c r="M25" s="5"/>
      <c r="S25" s="5"/>
      <c r="V25" s="5"/>
      <c r="Y25" s="5"/>
      <c r="AB25" s="5"/>
      <c r="AJ25" s="5"/>
      <c r="AK25" s="5"/>
      <c r="AO25" s="5"/>
      <c r="AP25"/>
      <c r="AS25" s="9"/>
    </row>
    <row r="26" spans="1:45">
      <c r="A26" s="30"/>
      <c r="D26" s="3"/>
      <c r="G26" s="5"/>
      <c r="H26" s="30"/>
      <c r="J26" s="5"/>
      <c r="M26" s="5"/>
      <c r="S26" s="5"/>
      <c r="V26" s="5"/>
      <c r="Y26" s="5"/>
      <c r="AB26" s="5"/>
      <c r="AK26" s="5"/>
      <c r="AO26" s="5"/>
      <c r="AP26"/>
      <c r="AS26" s="9"/>
    </row>
    <row r="27" spans="1:45">
      <c r="A27" s="30"/>
      <c r="D27" s="3"/>
      <c r="G27" s="5"/>
      <c r="H27" s="30"/>
      <c r="J27" s="5"/>
      <c r="M27" s="5"/>
      <c r="S27" s="5"/>
      <c r="V27" s="5"/>
      <c r="Y27" s="5"/>
      <c r="AB27" s="5"/>
      <c r="AK27" s="5"/>
      <c r="AO27" s="5"/>
      <c r="AP27"/>
      <c r="AS27" s="9"/>
    </row>
    <row r="28" spans="1:45">
      <c r="A28" s="30"/>
      <c r="D28" s="3"/>
      <c r="G28" s="30"/>
      <c r="H28" s="30"/>
      <c r="J28" s="5"/>
      <c r="M28" s="5"/>
      <c r="S28" s="5"/>
      <c r="V28" s="5"/>
      <c r="Y28" s="5"/>
      <c r="AB28" s="5"/>
      <c r="AK28" s="5"/>
      <c r="AO28" s="5"/>
      <c r="AP28"/>
      <c r="AS28" s="9"/>
    </row>
    <row r="29" spans="1:45">
      <c r="A29" s="30"/>
      <c r="D29" s="3"/>
      <c r="G29" s="5"/>
      <c r="H29" s="30"/>
      <c r="J29" s="5"/>
      <c r="M29" s="5"/>
      <c r="S29" s="5"/>
      <c r="V29" s="5"/>
      <c r="Y29" s="5"/>
      <c r="AB29" s="5"/>
      <c r="AK29" s="5"/>
      <c r="AO29" s="5"/>
      <c r="AP29"/>
      <c r="AS29" s="9"/>
    </row>
    <row r="30" spans="1:45">
      <c r="A30" s="30"/>
      <c r="D30" s="3"/>
      <c r="G30" s="5"/>
      <c r="H30" s="30"/>
      <c r="J30" s="5"/>
      <c r="M30" s="5"/>
      <c r="S30" s="5"/>
      <c r="V30" s="5"/>
      <c r="Y30" s="5"/>
      <c r="AB30" s="5"/>
      <c r="AK30" s="5"/>
      <c r="AO30" s="5"/>
      <c r="AP30"/>
      <c r="AS30" s="9"/>
    </row>
    <row r="31" spans="1:45">
      <c r="A31" s="30"/>
      <c r="D31" s="3"/>
      <c r="G31" s="5"/>
      <c r="H31" s="30"/>
      <c r="J31" s="5"/>
      <c r="M31" s="5"/>
      <c r="S31" s="5"/>
      <c r="V31" s="5"/>
      <c r="Y31" s="5"/>
      <c r="AB31" s="5"/>
      <c r="AK31" s="5"/>
      <c r="AO31" s="5"/>
      <c r="AP31"/>
      <c r="AS31" s="9"/>
    </row>
    <row r="32" spans="1:45">
      <c r="A32" s="30"/>
      <c r="D32" s="3"/>
      <c r="G32" s="5"/>
      <c r="H32" s="30"/>
      <c r="J32" s="5"/>
      <c r="M32" s="5"/>
      <c r="S32" s="5"/>
      <c r="V32" s="5"/>
      <c r="Y32" s="5"/>
      <c r="AB32" s="5"/>
      <c r="AK32" s="5"/>
      <c r="AO32" s="5"/>
      <c r="AP32"/>
      <c r="AS32" s="9"/>
    </row>
    <row r="33" spans="1:45">
      <c r="A33" s="30"/>
      <c r="D33" s="3"/>
      <c r="G33" s="5"/>
      <c r="H33" s="30"/>
      <c r="J33" s="5"/>
      <c r="M33" s="5"/>
      <c r="S33" s="5"/>
      <c r="V33" s="5"/>
      <c r="Y33" s="5"/>
      <c r="AB33" s="5"/>
      <c r="AK33" s="5"/>
      <c r="AO33" s="5"/>
      <c r="AP33"/>
      <c r="AS33" s="9"/>
    </row>
    <row r="34" spans="1:45">
      <c r="A34" s="30"/>
      <c r="D34" s="3"/>
      <c r="G34" s="30"/>
      <c r="H34" s="30"/>
      <c r="J34" s="5"/>
      <c r="M34" s="5"/>
      <c r="S34" s="5"/>
      <c r="V34" s="5"/>
      <c r="Y34" s="5"/>
      <c r="AB34" s="5"/>
      <c r="AK34" s="5"/>
      <c r="AO34" s="5"/>
      <c r="AP34"/>
      <c r="AS34" s="9"/>
    </row>
    <row r="35" spans="1:45">
      <c r="A35" s="30"/>
      <c r="D35" s="3"/>
      <c r="G35" s="5"/>
      <c r="H35" s="30"/>
      <c r="J35" s="5"/>
      <c r="M35" s="5"/>
      <c r="S35" s="5"/>
      <c r="V35" s="5"/>
      <c r="Y35" s="5"/>
      <c r="AB35" s="5"/>
      <c r="AK35" s="5"/>
      <c r="AO35" s="5"/>
      <c r="AP35"/>
      <c r="AS35" s="9"/>
    </row>
    <row r="36" spans="1:45">
      <c r="A36" s="30"/>
      <c r="D36" s="3"/>
      <c r="G36" s="5"/>
      <c r="H36" s="30"/>
      <c r="J36" s="5"/>
      <c r="M36" s="5"/>
      <c r="V36" s="5"/>
      <c r="Y36" s="5"/>
      <c r="AK36" s="5"/>
      <c r="AO36" s="5"/>
      <c r="AP36"/>
      <c r="AS36" s="9"/>
    </row>
    <row r="37" spans="1:45">
      <c r="A37" s="30"/>
      <c r="D37" s="3"/>
      <c r="G37" s="5"/>
      <c r="H37" s="30"/>
      <c r="J37" s="5"/>
      <c r="V37" s="5"/>
      <c r="Y37" s="5"/>
      <c r="AK37" s="5"/>
      <c r="AO37" s="5"/>
      <c r="AP37"/>
      <c r="AS37" s="9"/>
    </row>
    <row r="38" spans="1:45">
      <c r="A38" s="30"/>
      <c r="D38" s="3"/>
      <c r="G38" s="5"/>
      <c r="H38" s="30"/>
      <c r="J38" s="5"/>
      <c r="V38" s="5"/>
      <c r="Y38" s="5"/>
      <c r="AK38" s="5"/>
      <c r="AO38" s="5"/>
      <c r="AP38"/>
      <c r="AS38" s="9"/>
    </row>
    <row r="39" spans="1:45">
      <c r="A39" s="30"/>
      <c r="D39" s="3"/>
      <c r="G39" s="5"/>
      <c r="H39" s="30"/>
      <c r="J39" s="5"/>
      <c r="V39" s="5"/>
      <c r="Y39" s="5"/>
      <c r="AK39" s="5"/>
      <c r="AO39" s="5"/>
      <c r="AP39"/>
      <c r="AS39" s="9"/>
    </row>
    <row r="40" spans="1:45">
      <c r="A40" s="30"/>
      <c r="D40" s="3"/>
      <c r="G40" s="30"/>
      <c r="H40" s="30"/>
      <c r="J40" s="5"/>
      <c r="V40" s="5"/>
      <c r="Y40" s="5"/>
      <c r="AK40" s="5"/>
      <c r="AO40" s="5"/>
      <c r="AP40"/>
      <c r="AS40" s="9"/>
    </row>
    <row r="41" spans="1:45">
      <c r="A41" s="30"/>
      <c r="D41" s="3"/>
      <c r="H41" s="30"/>
      <c r="J41" s="5"/>
      <c r="V41" s="5"/>
      <c r="Y41" s="5"/>
      <c r="AK41" s="5"/>
      <c r="AO41" s="5"/>
      <c r="AP41"/>
      <c r="AS41" s="9"/>
    </row>
    <row r="42" spans="1:45">
      <c r="A42" s="5"/>
      <c r="G42" s="5"/>
      <c r="H42" s="30"/>
      <c r="J42" s="5"/>
      <c r="V42" s="5"/>
      <c r="Y42" s="5"/>
      <c r="AK42" s="5"/>
      <c r="AO42" s="5"/>
      <c r="AP42"/>
      <c r="AS42" s="9"/>
    </row>
    <row r="43" spans="1:45">
      <c r="A43" s="30"/>
      <c r="D43" s="3"/>
      <c r="G43" s="5"/>
      <c r="H43" s="30"/>
      <c r="J43" s="5"/>
      <c r="V43" s="5"/>
      <c r="Y43" s="5"/>
      <c r="AK43" s="5"/>
      <c r="AO43" s="5"/>
      <c r="AP43"/>
      <c r="AS43" s="9"/>
    </row>
    <row r="44" spans="1:45">
      <c r="A44" s="30"/>
      <c r="B44" s="30"/>
      <c r="C44" s="26"/>
      <c r="D44" s="83"/>
      <c r="E44" s="83"/>
      <c r="F44" s="26"/>
      <c r="G44" s="5"/>
      <c r="H44" s="30"/>
      <c r="J44" s="5"/>
      <c r="V44" s="5"/>
      <c r="Y44" s="5"/>
      <c r="AK44" s="5"/>
      <c r="AO44" s="5"/>
      <c r="AP44"/>
      <c r="AS44" s="9"/>
    </row>
    <row r="45" spans="1:45">
      <c r="B45" s="30"/>
      <c r="C45" s="26"/>
      <c r="D45" s="26"/>
      <c r="E45" s="83"/>
      <c r="F45" s="26"/>
      <c r="G45" s="5"/>
      <c r="H45" s="30"/>
      <c r="J45" s="5"/>
      <c r="V45" s="5"/>
      <c r="Y45" s="5"/>
      <c r="AK45" s="5"/>
      <c r="AO45" s="5"/>
      <c r="AP45"/>
      <c r="AS45" s="9"/>
    </row>
    <row r="46" spans="1:45">
      <c r="B46" s="30"/>
      <c r="C46" s="26"/>
      <c r="D46" s="26"/>
      <c r="E46" s="83"/>
      <c r="F46" s="26"/>
      <c r="G46" s="30"/>
      <c r="H46" s="30"/>
      <c r="J46" s="5"/>
      <c r="V46" s="5"/>
      <c r="Y46" s="5"/>
      <c r="AK46" s="5"/>
      <c r="AO46" s="5"/>
      <c r="AP46"/>
      <c r="AS46" s="9"/>
    </row>
    <row r="47" spans="1:45">
      <c r="B47" s="30"/>
      <c r="C47" s="26"/>
      <c r="D47" s="26"/>
      <c r="E47" s="83"/>
      <c r="F47" s="26"/>
      <c r="G47" s="5"/>
      <c r="H47" s="30"/>
      <c r="J47" s="5"/>
      <c r="V47" s="5"/>
      <c r="Y47" s="5"/>
      <c r="AK47" s="5"/>
      <c r="AO47" s="5"/>
      <c r="AP47"/>
      <c r="AS47" s="9"/>
    </row>
    <row r="48" spans="1:45">
      <c r="A48" s="30"/>
      <c r="G48" s="5"/>
      <c r="H48" s="30"/>
      <c r="J48" s="5"/>
      <c r="V48" s="5"/>
      <c r="Y48" s="5"/>
      <c r="AK48" s="5"/>
      <c r="AO48" s="5"/>
      <c r="AP48"/>
      <c r="AS48" s="9"/>
    </row>
    <row r="49" spans="1:45">
      <c r="A49" s="5"/>
      <c r="B49" s="30"/>
      <c r="C49" s="26"/>
      <c r="D49" s="26"/>
      <c r="E49" s="26"/>
      <c r="F49" s="26"/>
      <c r="G49" s="5"/>
      <c r="H49" s="30"/>
      <c r="J49" s="5"/>
      <c r="V49" s="5"/>
      <c r="Y49" s="5"/>
      <c r="AK49" s="5"/>
      <c r="AO49" s="5"/>
      <c r="AP49"/>
      <c r="AS49" s="9"/>
    </row>
    <row r="50" spans="1:45">
      <c r="A50" s="5"/>
      <c r="B50" s="30"/>
      <c r="C50" s="26"/>
      <c r="D50" s="26"/>
      <c r="E50" s="26"/>
      <c r="F50" s="26"/>
      <c r="G50" s="5"/>
      <c r="H50" s="30"/>
      <c r="J50" s="5"/>
      <c r="V50" s="5"/>
      <c r="Y50" s="5"/>
      <c r="AK50" s="5"/>
      <c r="AO50" s="5"/>
      <c r="AP50"/>
      <c r="AS50" s="9"/>
    </row>
    <row r="51" spans="1:45">
      <c r="A51" s="84"/>
      <c r="B51" s="84"/>
      <c r="C51" s="85"/>
      <c r="D51" s="26"/>
      <c r="E51" s="26"/>
      <c r="F51" s="26"/>
      <c r="G51" s="5"/>
      <c r="H51" s="30"/>
      <c r="J51" s="5"/>
      <c r="V51" s="5"/>
      <c r="Y51" s="5"/>
      <c r="AK51" s="5"/>
      <c r="AO51" s="5"/>
      <c r="AP51"/>
      <c r="AS51" s="9"/>
    </row>
    <row r="52" spans="1:45">
      <c r="A52" s="84"/>
      <c r="B52" s="84"/>
      <c r="C52" s="85"/>
      <c r="D52" s="26"/>
      <c r="E52" s="26"/>
      <c r="F52" s="26"/>
      <c r="G52" s="30"/>
      <c r="H52" s="30"/>
      <c r="J52" s="5"/>
      <c r="Y52" s="5"/>
      <c r="AK52" s="5"/>
      <c r="AO52" s="5"/>
      <c r="AP52"/>
      <c r="AS52" s="9"/>
    </row>
    <row r="53" spans="1:45">
      <c r="A53" s="86"/>
      <c r="B53" s="87"/>
      <c r="C53" s="88"/>
      <c r="G53" s="5"/>
      <c r="H53" s="30"/>
      <c r="J53" s="5"/>
      <c r="Y53" s="5"/>
      <c r="AK53" s="5"/>
      <c r="AO53" s="5"/>
      <c r="AP53"/>
      <c r="AS53" s="9"/>
    </row>
    <row r="54" spans="1:45">
      <c r="A54" s="86"/>
      <c r="B54" s="87"/>
      <c r="C54" s="88"/>
      <c r="G54" s="5"/>
      <c r="H54" s="30"/>
      <c r="J54" s="5"/>
      <c r="Y54" s="5"/>
      <c r="AK54" s="5"/>
      <c r="AO54" s="5"/>
      <c r="AP54"/>
      <c r="AS54" s="9"/>
    </row>
    <row r="55" spans="1:45">
      <c r="A55" s="86"/>
      <c r="B55" s="84"/>
      <c r="C55" s="88"/>
      <c r="G55" s="5"/>
      <c r="H55" s="30"/>
      <c r="J55" s="5"/>
      <c r="Y55" s="5"/>
      <c r="AK55" s="5"/>
      <c r="AP55"/>
      <c r="AS55" s="9"/>
    </row>
    <row r="56" spans="1:45">
      <c r="A56" s="5"/>
      <c r="G56" s="5"/>
      <c r="H56" s="30"/>
      <c r="J56" s="5"/>
      <c r="AK56" s="5"/>
      <c r="AP56"/>
      <c r="AS56" s="9"/>
    </row>
    <row r="57" spans="1:45">
      <c r="A57" s="5"/>
      <c r="G57" s="5"/>
      <c r="H57" s="30"/>
      <c r="J57" s="5"/>
      <c r="AK57" s="5"/>
      <c r="AP57"/>
      <c r="AS57" s="9"/>
    </row>
    <row r="58" spans="1:45">
      <c r="A58" s="5"/>
      <c r="G58" s="30"/>
      <c r="H58" s="30"/>
      <c r="J58" s="5"/>
      <c r="AK58" s="5"/>
      <c r="AP58"/>
      <c r="AS58" s="9"/>
    </row>
    <row r="59" spans="1:45">
      <c r="A59" s="5"/>
      <c r="G59" s="5"/>
      <c r="H59" s="30"/>
      <c r="J59" s="5"/>
      <c r="AK59" s="5"/>
      <c r="AP59"/>
      <c r="AS59" s="9"/>
    </row>
    <row r="60" spans="1:45">
      <c r="A60" s="5"/>
      <c r="G60" s="5"/>
      <c r="H60" s="30"/>
      <c r="J60" s="5"/>
      <c r="AK60" s="5"/>
      <c r="AP60"/>
      <c r="AS60" s="9"/>
    </row>
    <row r="61" spans="1:45">
      <c r="G61" s="5"/>
      <c r="H61" s="30"/>
      <c r="J61" s="5"/>
      <c r="AK61" s="5"/>
      <c r="AP61"/>
      <c r="AS61" s="9"/>
    </row>
    <row r="62" spans="1:45">
      <c r="G62" s="5"/>
      <c r="H62" s="30"/>
      <c r="J62" s="5"/>
      <c r="AK62" s="5"/>
      <c r="AP62"/>
      <c r="AS62" s="9"/>
    </row>
    <row r="63" spans="1:45">
      <c r="G63" s="5"/>
      <c r="H63" s="30"/>
      <c r="J63" s="5"/>
      <c r="AK63" s="5"/>
      <c r="AP63"/>
      <c r="AS63" s="9"/>
    </row>
    <row r="64" spans="1:45">
      <c r="G64" s="30"/>
      <c r="H64" s="30"/>
      <c r="J64" s="5"/>
      <c r="AK64" s="5"/>
      <c r="AP64"/>
      <c r="AS64" s="9"/>
    </row>
    <row r="65" spans="7:45">
      <c r="G65" s="5"/>
      <c r="H65" s="30"/>
      <c r="J65" s="5"/>
      <c r="AK65" s="5"/>
      <c r="AP65"/>
      <c r="AS65" s="9"/>
    </row>
    <row r="66" spans="7:45">
      <c r="G66" s="5"/>
      <c r="H66" s="30"/>
      <c r="J66" s="5"/>
      <c r="AK66" s="5"/>
      <c r="AP66"/>
      <c r="AS66" s="9"/>
    </row>
    <row r="67" spans="7:45">
      <c r="G67" s="5"/>
      <c r="H67" s="30"/>
      <c r="J67" s="5"/>
      <c r="AK67" s="5"/>
      <c r="AP67"/>
      <c r="AS67" s="9"/>
    </row>
    <row r="68" spans="7:45">
      <c r="G68" s="5"/>
      <c r="H68" s="30"/>
      <c r="J68" s="5"/>
      <c r="AK68" s="5"/>
      <c r="AP68"/>
      <c r="AS68" s="9"/>
    </row>
    <row r="69" spans="7:45">
      <c r="G69" s="5"/>
      <c r="H69" s="30"/>
      <c r="J69" s="5"/>
      <c r="AK69" s="5"/>
      <c r="AP69"/>
      <c r="AS69" s="9"/>
    </row>
    <row r="70" spans="7:45">
      <c r="G70" s="30"/>
      <c r="H70" s="30"/>
      <c r="J70" s="5"/>
      <c r="AK70" s="5"/>
      <c r="AP70"/>
      <c r="AS70" s="9"/>
    </row>
    <row r="71" spans="7:45">
      <c r="G71" s="5"/>
      <c r="H71" s="30"/>
      <c r="J71" s="5"/>
      <c r="AK71" s="5"/>
      <c r="AP71"/>
      <c r="AS71" s="9"/>
    </row>
    <row r="72" spans="7:45">
      <c r="G72" s="5"/>
      <c r="H72" s="30"/>
      <c r="J72" s="5"/>
      <c r="AK72" s="5"/>
      <c r="AP72"/>
      <c r="AS72" s="9"/>
    </row>
    <row r="73" spans="7:45">
      <c r="G73" s="5"/>
      <c r="H73" s="30"/>
      <c r="J73" s="5"/>
      <c r="AK73" s="5"/>
      <c r="AP73"/>
      <c r="AS73" s="9"/>
    </row>
    <row r="74" spans="7:45">
      <c r="G74" s="5"/>
      <c r="H74" s="30"/>
      <c r="J74" s="5"/>
      <c r="AK74" s="5"/>
      <c r="AP74"/>
      <c r="AS74" s="9"/>
    </row>
    <row r="75" spans="7:45">
      <c r="G75" s="5"/>
      <c r="H75" s="30"/>
      <c r="J75" s="5"/>
      <c r="AK75" s="5"/>
      <c r="AP75"/>
      <c r="AS75" s="9"/>
    </row>
    <row r="76" spans="7:45">
      <c r="G76" s="30"/>
      <c r="H76" s="30"/>
      <c r="J76" s="5"/>
      <c r="AP76"/>
      <c r="AS76" s="9"/>
    </row>
    <row r="77" spans="7:45">
      <c r="G77" s="5"/>
      <c r="H77" s="30"/>
      <c r="J77" s="5"/>
      <c r="AP77"/>
      <c r="AS77" s="9"/>
    </row>
    <row r="78" spans="7:45">
      <c r="G78" s="5"/>
      <c r="H78" s="30"/>
      <c r="J78" s="5"/>
      <c r="AP78"/>
      <c r="AS78" s="9"/>
    </row>
    <row r="79" spans="7:45">
      <c r="G79" s="5"/>
      <c r="H79" s="30"/>
      <c r="J79" s="5"/>
      <c r="AP79"/>
      <c r="AS79" s="9"/>
    </row>
    <row r="80" spans="7:45">
      <c r="G80" s="5"/>
      <c r="H80" s="30"/>
      <c r="J80" s="5"/>
      <c r="AP80"/>
      <c r="AS80" s="9"/>
    </row>
    <row r="81" spans="7:45">
      <c r="G81" s="5"/>
      <c r="H81" s="30"/>
      <c r="J81" s="5"/>
      <c r="AP81"/>
      <c r="AS81" s="9"/>
    </row>
    <row r="82" spans="7:45">
      <c r="G82" s="30"/>
      <c r="H82" s="30"/>
      <c r="J82" s="5"/>
      <c r="AP82"/>
      <c r="AS82" s="9"/>
    </row>
    <row r="83" spans="7:45">
      <c r="G83" s="5"/>
      <c r="H83" s="30"/>
      <c r="J83" s="5"/>
      <c r="AP83"/>
      <c r="AS83" s="9"/>
    </row>
    <row r="84" spans="7:45">
      <c r="G84" s="5"/>
      <c r="H84" s="30"/>
      <c r="J84" s="5"/>
      <c r="AP84"/>
      <c r="AS84" s="9"/>
    </row>
    <row r="85" spans="7:45">
      <c r="G85" s="5"/>
      <c r="H85" s="30"/>
      <c r="J85" s="5"/>
      <c r="AP85"/>
      <c r="AS85" s="9"/>
    </row>
    <row r="86" spans="7:45">
      <c r="G86" s="5"/>
      <c r="H86" s="30"/>
      <c r="J86" s="5"/>
      <c r="AP86"/>
      <c r="AS86" s="9"/>
    </row>
    <row r="87" spans="7:45">
      <c r="G87" s="5"/>
      <c r="H87" s="30"/>
      <c r="J87" s="5"/>
      <c r="AP87"/>
      <c r="AS87" s="9"/>
    </row>
    <row r="88" spans="7:45">
      <c r="G88" s="30"/>
      <c r="H88" s="30"/>
      <c r="J88" s="5"/>
      <c r="AP88"/>
      <c r="AS88" s="9"/>
    </row>
    <row r="89" spans="7:45">
      <c r="G89" s="5"/>
      <c r="H89" s="30"/>
      <c r="J89" s="5"/>
      <c r="AP89"/>
      <c r="AS89" s="9"/>
    </row>
    <row r="90" spans="7:45">
      <c r="G90" s="5"/>
      <c r="H90" s="30"/>
      <c r="J90" s="5"/>
      <c r="AP90"/>
      <c r="AS90" s="9"/>
    </row>
    <row r="91" spans="7:45">
      <c r="G91" s="5"/>
      <c r="H91" s="30"/>
      <c r="J91" s="5"/>
      <c r="AP91"/>
      <c r="AS91" s="9"/>
    </row>
    <row r="92" spans="7:45">
      <c r="G92" s="5"/>
      <c r="H92" s="30"/>
      <c r="J92" s="5"/>
      <c r="AP92"/>
      <c r="AS92" s="9"/>
    </row>
    <row r="93" spans="7:45">
      <c r="G93" s="5"/>
      <c r="H93" s="30"/>
      <c r="J93" s="5"/>
      <c r="AP93"/>
      <c r="AS93" s="9"/>
    </row>
    <row r="94" spans="7:45">
      <c r="G94" s="30"/>
      <c r="H94" s="30"/>
      <c r="J94" s="5"/>
      <c r="AP94"/>
      <c r="AS94" s="9"/>
    </row>
    <row r="95" spans="7:45">
      <c r="G95" s="5"/>
      <c r="H95" s="30"/>
      <c r="J95" s="5"/>
      <c r="AP95"/>
      <c r="AS95" s="9"/>
    </row>
    <row r="96" spans="7:45">
      <c r="G96" s="5"/>
      <c r="H96" s="30"/>
      <c r="J96" s="5"/>
      <c r="AP96"/>
      <c r="AS96" s="9"/>
    </row>
    <row r="97" spans="4:45">
      <c r="G97" s="5"/>
      <c r="H97" s="30"/>
      <c r="J97" s="5"/>
      <c r="AP97"/>
      <c r="AS97" s="9"/>
    </row>
    <row r="98" spans="4:45">
      <c r="G98" s="5"/>
      <c r="H98" s="30"/>
      <c r="J98" s="5"/>
      <c r="AP98"/>
      <c r="AS98" s="9"/>
    </row>
    <row r="99" spans="4:45">
      <c r="G99" s="5"/>
      <c r="H99" s="30"/>
      <c r="J99" s="5"/>
      <c r="AP99"/>
      <c r="AS99" s="9"/>
    </row>
    <row r="100" spans="4:45">
      <c r="G100" s="5"/>
      <c r="AP100"/>
      <c r="AS100" s="9"/>
    </row>
    <row r="101" spans="4:45">
      <c r="D101" s="5"/>
    </row>
    <row r="102" spans="4:45">
      <c r="D102" s="5"/>
    </row>
    <row r="103" spans="4:45">
      <c r="D103" s="5"/>
    </row>
    <row r="104" spans="4:45">
      <c r="D104" s="5"/>
    </row>
    <row r="105" spans="4:45">
      <c r="D105" s="5"/>
    </row>
    <row r="106" spans="4:45">
      <c r="D106" s="5"/>
    </row>
  </sheetData>
  <phoneticPr fontId="7" type="noConversion"/>
  <pageMargins left="0.78740157499999996" right="0.78740157499999996" top="0.984251969" bottom="0.984251969" header="0.4921259845" footer="0.4921259845"/>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35905" r:id="rId3" name="Button 1">
              <controlPr defaultSize="0" print="0" autoFill="0" autoPict="0" macro="[0]!Accueil">
                <anchor moveWithCells="1" sizeWithCells="1">
                  <from>
                    <xdr:col>9</xdr:col>
                    <xdr:colOff>676275</xdr:colOff>
                    <xdr:row>9</xdr:row>
                    <xdr:rowOff>28575</xdr:rowOff>
                  </from>
                  <to>
                    <xdr:col>12</xdr:col>
                    <xdr:colOff>219075</xdr:colOff>
                    <xdr:row>11</xdr:row>
                    <xdr:rowOff>76200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9">
    <tabColor indexed="61"/>
  </sheetPr>
  <dimension ref="F5"/>
  <sheetViews>
    <sheetView workbookViewId="0"/>
  </sheetViews>
  <sheetFormatPr baseColWidth="10" defaultRowHeight="12.75"/>
  <cols>
    <col min="1" max="1" width="13.28515625" customWidth="1"/>
    <col min="3" max="3" width="24.140625" customWidth="1"/>
  </cols>
  <sheetData>
    <row r="5" spans="6:6">
      <c r="F5" s="68"/>
    </row>
  </sheetData>
  <phoneticPr fontId="7"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
  <dimension ref="A1:R90"/>
  <sheetViews>
    <sheetView zoomScale="120" zoomScaleNormal="120" zoomScalePageLayoutView="120" workbookViewId="0">
      <selection activeCell="P8" sqref="P8"/>
    </sheetView>
  </sheetViews>
  <sheetFormatPr baseColWidth="10" defaultRowHeight="12.75"/>
  <cols>
    <col min="1" max="1" width="23.85546875" customWidth="1"/>
    <col min="2" max="2" width="19.140625" customWidth="1"/>
    <col min="14" max="14" width="15.140625" bestFit="1" customWidth="1"/>
    <col min="15" max="15" width="4.85546875" customWidth="1"/>
    <col min="16" max="16" width="28.28515625" customWidth="1"/>
  </cols>
  <sheetData>
    <row r="1" spans="1:17" ht="15">
      <c r="A1" s="3" t="s">
        <v>126</v>
      </c>
      <c r="B1" s="2"/>
      <c r="C1" s="2" t="s">
        <v>72</v>
      </c>
      <c r="H1">
        <v>0</v>
      </c>
      <c r="K1" s="3" t="s">
        <v>735</v>
      </c>
      <c r="M1" s="3" t="s">
        <v>205</v>
      </c>
      <c r="N1" s="3"/>
    </row>
    <row r="2" spans="1:17" ht="15">
      <c r="A2" s="3" t="s">
        <v>127</v>
      </c>
      <c r="B2" s="2"/>
      <c r="C2">
        <v>1</v>
      </c>
      <c r="E2" s="3" t="s">
        <v>134</v>
      </c>
      <c r="F2" s="3"/>
      <c r="H2">
        <v>1</v>
      </c>
      <c r="I2" t="s">
        <v>138</v>
      </c>
      <c r="J2">
        <v>1940</v>
      </c>
      <c r="K2" s="3" t="s">
        <v>736</v>
      </c>
      <c r="M2" s="3" t="s">
        <v>592</v>
      </c>
      <c r="N2" s="68"/>
    </row>
    <row r="3" spans="1:17" ht="15">
      <c r="A3" s="3" t="s">
        <v>130</v>
      </c>
      <c r="B3" s="2"/>
      <c r="C3">
        <v>2</v>
      </c>
      <c r="E3" s="3" t="s">
        <v>132</v>
      </c>
      <c r="F3" s="3"/>
      <c r="H3">
        <v>2</v>
      </c>
      <c r="I3" t="s">
        <v>139</v>
      </c>
      <c r="J3">
        <v>1941</v>
      </c>
      <c r="M3" s="3" t="s">
        <v>202</v>
      </c>
      <c r="N3" s="68"/>
      <c r="O3">
        <v>0</v>
      </c>
      <c r="Q3">
        <v>0</v>
      </c>
    </row>
    <row r="4" spans="1:17" ht="25.5">
      <c r="A4" s="3" t="s">
        <v>128</v>
      </c>
      <c r="B4" s="2"/>
      <c r="C4">
        <v>3</v>
      </c>
      <c r="E4" s="3" t="s">
        <v>133</v>
      </c>
      <c r="F4" s="3"/>
      <c r="H4">
        <v>3</v>
      </c>
      <c r="I4" t="s">
        <v>140</v>
      </c>
      <c r="J4">
        <v>1942</v>
      </c>
      <c r="K4">
        <f>L4/964*K5</f>
        <v>107.46887966804979</v>
      </c>
      <c r="L4">
        <v>1036</v>
      </c>
      <c r="N4" s="68"/>
      <c r="O4">
        <v>1</v>
      </c>
      <c r="P4" s="279" t="s">
        <v>775</v>
      </c>
      <c r="Q4">
        <v>1</v>
      </c>
    </row>
    <row r="5" spans="1:17" ht="38.25">
      <c r="A5" s="3" t="s">
        <v>129</v>
      </c>
      <c r="B5" s="3"/>
      <c r="C5">
        <v>4</v>
      </c>
      <c r="D5" s="3"/>
      <c r="E5" s="3" t="s">
        <v>137</v>
      </c>
      <c r="F5" s="3"/>
      <c r="H5">
        <v>4</v>
      </c>
      <c r="I5" t="s">
        <v>141</v>
      </c>
      <c r="J5">
        <v>1943</v>
      </c>
      <c r="K5">
        <v>100</v>
      </c>
      <c r="L5">
        <v>658</v>
      </c>
      <c r="M5" s="3" t="s">
        <v>205</v>
      </c>
      <c r="N5" s="68"/>
      <c r="O5" s="3">
        <v>2</v>
      </c>
      <c r="P5" s="279" t="s">
        <v>787</v>
      </c>
      <c r="Q5">
        <v>2</v>
      </c>
    </row>
    <row r="6" spans="1:17" ht="25.5">
      <c r="A6" s="3" t="s">
        <v>95</v>
      </c>
      <c r="B6" s="3"/>
      <c r="C6" s="15" t="s">
        <v>264</v>
      </c>
      <c r="D6" s="3"/>
      <c r="E6" s="3" t="s">
        <v>428</v>
      </c>
      <c r="F6" s="3"/>
      <c r="H6">
        <v>5</v>
      </c>
      <c r="I6" t="s">
        <v>142</v>
      </c>
      <c r="J6">
        <v>1944</v>
      </c>
      <c r="K6">
        <v>56</v>
      </c>
      <c r="M6" s="3" t="s">
        <v>202</v>
      </c>
      <c r="N6" s="68"/>
      <c r="O6">
        <v>3</v>
      </c>
      <c r="P6" s="279" t="s">
        <v>776</v>
      </c>
      <c r="Q6">
        <v>3</v>
      </c>
    </row>
    <row r="7" spans="1:17" ht="38.25">
      <c r="A7" s="3" t="s">
        <v>131</v>
      </c>
      <c r="B7" s="3"/>
      <c r="C7" s="3"/>
      <c r="D7" s="3"/>
      <c r="E7" s="3" t="s">
        <v>429</v>
      </c>
      <c r="F7" s="3"/>
      <c r="H7">
        <v>6</v>
      </c>
      <c r="I7" t="s">
        <v>143</v>
      </c>
      <c r="J7">
        <v>1945</v>
      </c>
      <c r="K7">
        <f>L5/530*K6</f>
        <v>69.524528301886789</v>
      </c>
      <c r="N7" s="68"/>
      <c r="O7">
        <v>4</v>
      </c>
      <c r="P7" s="279" t="s">
        <v>788</v>
      </c>
      <c r="Q7">
        <v>4</v>
      </c>
    </row>
    <row r="8" spans="1:17" ht="25.5">
      <c r="A8" s="3" t="s">
        <v>94</v>
      </c>
      <c r="B8" s="3"/>
      <c r="C8" s="3"/>
      <c r="D8" s="3"/>
      <c r="E8" s="3" t="s">
        <v>430</v>
      </c>
      <c r="F8" s="3"/>
      <c r="H8">
        <v>7</v>
      </c>
      <c r="I8" t="s">
        <v>144</v>
      </c>
      <c r="J8">
        <v>1946</v>
      </c>
      <c r="N8" s="68"/>
      <c r="O8" s="3">
        <v>5</v>
      </c>
      <c r="P8" s="279" t="s">
        <v>777</v>
      </c>
      <c r="Q8">
        <v>5</v>
      </c>
    </row>
    <row r="9" spans="1:17" ht="25.5">
      <c r="E9" s="3" t="s">
        <v>135</v>
      </c>
      <c r="H9">
        <v>8</v>
      </c>
      <c r="I9" t="s">
        <v>145</v>
      </c>
      <c r="J9">
        <v>1947</v>
      </c>
      <c r="N9" s="68"/>
      <c r="O9">
        <v>6</v>
      </c>
      <c r="P9" s="279" t="s">
        <v>778</v>
      </c>
      <c r="Q9">
        <v>6</v>
      </c>
    </row>
    <row r="10" spans="1:17">
      <c r="A10" s="3" t="s">
        <v>59</v>
      </c>
      <c r="E10" s="3" t="s">
        <v>136</v>
      </c>
      <c r="F10" s="1"/>
      <c r="H10">
        <v>9</v>
      </c>
      <c r="I10" t="s">
        <v>146</v>
      </c>
      <c r="J10">
        <v>1948</v>
      </c>
      <c r="N10" s="68"/>
      <c r="O10">
        <v>7</v>
      </c>
      <c r="P10" s="279" t="s">
        <v>779</v>
      </c>
      <c r="Q10">
        <v>7</v>
      </c>
    </row>
    <row r="11" spans="1:17">
      <c r="A11" s="3" t="s">
        <v>60</v>
      </c>
      <c r="B11" t="s">
        <v>434</v>
      </c>
      <c r="D11" s="1" t="s">
        <v>118</v>
      </c>
      <c r="E11" s="3" t="s">
        <v>125</v>
      </c>
      <c r="F11" s="1" t="s">
        <v>113</v>
      </c>
      <c r="H11">
        <v>10</v>
      </c>
      <c r="I11" t="s">
        <v>147</v>
      </c>
      <c r="J11">
        <v>1949</v>
      </c>
      <c r="N11" s="68"/>
      <c r="O11" s="3">
        <v>8</v>
      </c>
      <c r="P11" s="279" t="s">
        <v>780</v>
      </c>
      <c r="Q11">
        <v>8</v>
      </c>
    </row>
    <row r="12" spans="1:17" ht="25.5">
      <c r="A12" s="3" t="s">
        <v>61</v>
      </c>
      <c r="B12" t="s">
        <v>435</v>
      </c>
      <c r="D12" s="1" t="s">
        <v>120</v>
      </c>
      <c r="F12" t="s">
        <v>441</v>
      </c>
      <c r="H12">
        <v>11</v>
      </c>
      <c r="I12" t="s">
        <v>148</v>
      </c>
      <c r="J12">
        <v>1950</v>
      </c>
      <c r="N12" s="68"/>
      <c r="O12">
        <v>9</v>
      </c>
      <c r="P12" s="279" t="s">
        <v>783</v>
      </c>
      <c r="Q12">
        <v>9</v>
      </c>
    </row>
    <row r="13" spans="1:17">
      <c r="A13" s="3" t="s">
        <v>62</v>
      </c>
      <c r="B13" t="s">
        <v>436</v>
      </c>
      <c r="D13" s="1" t="s">
        <v>122</v>
      </c>
      <c r="F13" s="1" t="s">
        <v>114</v>
      </c>
      <c r="H13">
        <v>12</v>
      </c>
      <c r="I13" t="s">
        <v>149</v>
      </c>
      <c r="J13">
        <v>1951</v>
      </c>
      <c r="N13" s="68"/>
      <c r="O13">
        <v>10</v>
      </c>
      <c r="P13" s="279" t="s">
        <v>784</v>
      </c>
      <c r="Q13">
        <v>10</v>
      </c>
    </row>
    <row r="14" spans="1:17">
      <c r="B14" t="s">
        <v>437</v>
      </c>
      <c r="D14" s="1" t="s">
        <v>125</v>
      </c>
      <c r="F14" s="1" t="s">
        <v>115</v>
      </c>
      <c r="H14">
        <v>13</v>
      </c>
      <c r="I14" t="s">
        <v>138</v>
      </c>
      <c r="J14">
        <v>1952</v>
      </c>
      <c r="N14" s="68"/>
      <c r="O14" s="3">
        <v>11</v>
      </c>
      <c r="P14" s="279" t="s">
        <v>785</v>
      </c>
      <c r="Q14">
        <v>11</v>
      </c>
    </row>
    <row r="15" spans="1:17" ht="25.5">
      <c r="A15" s="3" t="s">
        <v>223</v>
      </c>
      <c r="B15" t="s">
        <v>438</v>
      </c>
      <c r="F15" s="1" t="s">
        <v>116</v>
      </c>
      <c r="H15">
        <v>14</v>
      </c>
      <c r="I15" t="s">
        <v>139</v>
      </c>
      <c r="J15">
        <v>1953</v>
      </c>
      <c r="N15" s="68"/>
      <c r="O15">
        <v>12</v>
      </c>
      <c r="P15" s="279" t="s">
        <v>781</v>
      </c>
      <c r="Q15">
        <v>12</v>
      </c>
    </row>
    <row r="16" spans="1:17">
      <c r="A16" s="3" t="s">
        <v>64</v>
      </c>
      <c r="B16" t="s">
        <v>439</v>
      </c>
      <c r="H16">
        <v>15</v>
      </c>
      <c r="I16" t="s">
        <v>140</v>
      </c>
      <c r="J16">
        <v>1954</v>
      </c>
      <c r="N16" s="68"/>
      <c r="O16">
        <v>13</v>
      </c>
      <c r="P16" s="279" t="s">
        <v>782</v>
      </c>
      <c r="Q16">
        <v>13</v>
      </c>
    </row>
    <row r="17" spans="1:18">
      <c r="A17" s="3" t="s">
        <v>65</v>
      </c>
      <c r="B17" t="s">
        <v>440</v>
      </c>
      <c r="H17">
        <v>16</v>
      </c>
      <c r="I17" t="s">
        <v>141</v>
      </c>
      <c r="J17">
        <v>1955</v>
      </c>
      <c r="N17" s="68"/>
      <c r="O17" s="3">
        <v>14</v>
      </c>
      <c r="P17" s="279" t="s">
        <v>786</v>
      </c>
    </row>
    <row r="18" spans="1:18">
      <c r="A18" s="3" t="s">
        <v>66</v>
      </c>
      <c r="H18">
        <v>17</v>
      </c>
      <c r="I18" t="s">
        <v>142</v>
      </c>
      <c r="J18">
        <v>1956</v>
      </c>
      <c r="L18">
        <v>1</v>
      </c>
      <c r="M18" s="3" t="s">
        <v>31</v>
      </c>
      <c r="N18" s="68"/>
      <c r="O18" s="3"/>
    </row>
    <row r="19" spans="1:18">
      <c r="A19" s="3" t="s">
        <v>67</v>
      </c>
      <c r="B19" s="1"/>
      <c r="H19">
        <v>18</v>
      </c>
      <c r="I19" t="s">
        <v>143</v>
      </c>
      <c r="J19">
        <v>1957</v>
      </c>
      <c r="L19">
        <v>2</v>
      </c>
      <c r="M19" s="3" t="s">
        <v>17</v>
      </c>
      <c r="N19" s="68"/>
      <c r="O19" s="3"/>
    </row>
    <row r="20" spans="1:18">
      <c r="B20" s="1" t="s">
        <v>119</v>
      </c>
      <c r="D20" s="1" t="s">
        <v>107</v>
      </c>
      <c r="F20" t="s">
        <v>294</v>
      </c>
      <c r="H20">
        <v>19</v>
      </c>
      <c r="I20" t="s">
        <v>144</v>
      </c>
      <c r="J20">
        <v>1958</v>
      </c>
      <c r="L20">
        <v>3</v>
      </c>
      <c r="M20" s="3" t="s">
        <v>18</v>
      </c>
      <c r="N20" s="68"/>
      <c r="P20" s="3" t="s">
        <v>723</v>
      </c>
      <c r="Q20" s="3" t="s">
        <v>722</v>
      </c>
      <c r="R20" s="26">
        <f>4.38/30</f>
        <v>0.14599999999999999</v>
      </c>
    </row>
    <row r="21" spans="1:18">
      <c r="A21" s="3" t="s">
        <v>223</v>
      </c>
      <c r="B21" s="1" t="s">
        <v>121</v>
      </c>
      <c r="D21" s="1" t="s">
        <v>108</v>
      </c>
      <c r="F21" t="s">
        <v>263</v>
      </c>
      <c r="H21">
        <v>20</v>
      </c>
      <c r="I21" t="s">
        <v>145</v>
      </c>
      <c r="J21">
        <v>1959</v>
      </c>
      <c r="L21">
        <v>4</v>
      </c>
      <c r="M21" s="3" t="s">
        <v>423</v>
      </c>
      <c r="N21" s="68"/>
    </row>
    <row r="22" spans="1:18">
      <c r="A22" s="3" t="s">
        <v>206</v>
      </c>
      <c r="B22" s="1" t="s">
        <v>123</v>
      </c>
      <c r="D22" t="s">
        <v>441</v>
      </c>
      <c r="F22" t="s">
        <v>295</v>
      </c>
      <c r="H22">
        <v>21</v>
      </c>
      <c r="I22" t="s">
        <v>146</v>
      </c>
      <c r="J22">
        <v>1960</v>
      </c>
      <c r="L22">
        <v>5</v>
      </c>
      <c r="M22" s="3" t="s">
        <v>431</v>
      </c>
      <c r="N22" s="68"/>
    </row>
    <row r="23" spans="1:18">
      <c r="A23" s="3" t="s">
        <v>221</v>
      </c>
      <c r="B23" s="1" t="s">
        <v>124</v>
      </c>
      <c r="D23" t="s">
        <v>446</v>
      </c>
      <c r="F23" t="s">
        <v>353</v>
      </c>
      <c r="H23">
        <v>22</v>
      </c>
      <c r="I23" t="s">
        <v>147</v>
      </c>
      <c r="J23">
        <v>1961</v>
      </c>
      <c r="L23">
        <v>6</v>
      </c>
      <c r="M23" s="3" t="s">
        <v>208</v>
      </c>
      <c r="N23" s="68"/>
    </row>
    <row r="24" spans="1:18">
      <c r="A24" s="3" t="s">
        <v>73</v>
      </c>
      <c r="B24" s="1" t="s">
        <v>442</v>
      </c>
      <c r="D24" t="s">
        <v>447</v>
      </c>
      <c r="F24" t="s">
        <v>354</v>
      </c>
      <c r="H24">
        <v>23</v>
      </c>
      <c r="I24" t="s">
        <v>148</v>
      </c>
      <c r="J24">
        <v>1962</v>
      </c>
      <c r="N24" s="68"/>
    </row>
    <row r="25" spans="1:18">
      <c r="B25" s="1" t="s">
        <v>443</v>
      </c>
      <c r="D25" t="s">
        <v>448</v>
      </c>
      <c r="F25" t="s">
        <v>296</v>
      </c>
      <c r="H25">
        <v>24</v>
      </c>
      <c r="I25" t="s">
        <v>149</v>
      </c>
      <c r="J25">
        <v>1963</v>
      </c>
      <c r="N25" s="68"/>
    </row>
    <row r="26" spans="1:18">
      <c r="A26" s="3" t="s">
        <v>71</v>
      </c>
      <c r="D26" t="s">
        <v>449</v>
      </c>
      <c r="F26" t="s">
        <v>37</v>
      </c>
      <c r="H26">
        <v>25</v>
      </c>
      <c r="J26">
        <v>1964</v>
      </c>
      <c r="L26" t="s">
        <v>96</v>
      </c>
      <c r="N26" s="68"/>
    </row>
    <row r="27" spans="1:18">
      <c r="A27" s="3" t="s">
        <v>314</v>
      </c>
      <c r="B27" t="s">
        <v>97</v>
      </c>
      <c r="D27" t="s">
        <v>450</v>
      </c>
      <c r="F27" t="s">
        <v>216</v>
      </c>
      <c r="H27">
        <v>26</v>
      </c>
      <c r="J27">
        <v>1965</v>
      </c>
      <c r="L27" t="s">
        <v>209</v>
      </c>
      <c r="N27" s="68"/>
    </row>
    <row r="28" spans="1:18">
      <c r="A28" s="3" t="s">
        <v>315</v>
      </c>
      <c r="B28" t="s">
        <v>98</v>
      </c>
      <c r="D28" t="s">
        <v>451</v>
      </c>
      <c r="F28" t="s">
        <v>212</v>
      </c>
      <c r="H28">
        <v>27</v>
      </c>
      <c r="J28">
        <v>1966</v>
      </c>
      <c r="L28" t="s">
        <v>210</v>
      </c>
      <c r="N28" s="68"/>
    </row>
    <row r="29" spans="1:18">
      <c r="A29" s="3" t="s">
        <v>316</v>
      </c>
      <c r="B29" t="s">
        <v>99</v>
      </c>
      <c r="F29" t="s">
        <v>213</v>
      </c>
      <c r="H29">
        <v>28</v>
      </c>
      <c r="J29">
        <v>1967</v>
      </c>
      <c r="L29" t="s">
        <v>211</v>
      </c>
      <c r="N29" s="68"/>
    </row>
    <row r="30" spans="1:18">
      <c r="A30" s="3" t="s">
        <v>363</v>
      </c>
      <c r="B30" t="s">
        <v>100</v>
      </c>
      <c r="F30" t="s">
        <v>214</v>
      </c>
      <c r="H30">
        <v>29</v>
      </c>
      <c r="J30">
        <v>1968</v>
      </c>
      <c r="N30" s="68"/>
    </row>
    <row r="31" spans="1:18">
      <c r="A31" s="3" t="s">
        <v>84</v>
      </c>
      <c r="B31" t="s">
        <v>101</v>
      </c>
      <c r="D31" t="s">
        <v>302</v>
      </c>
      <c r="F31" t="s">
        <v>215</v>
      </c>
      <c r="G31" t="s">
        <v>310</v>
      </c>
      <c r="H31">
        <v>30</v>
      </c>
      <c r="J31">
        <v>1969</v>
      </c>
      <c r="L31" s="3" t="s">
        <v>721</v>
      </c>
      <c r="N31" s="68"/>
    </row>
    <row r="32" spans="1:18">
      <c r="A32" s="3" t="s">
        <v>85</v>
      </c>
      <c r="B32" t="s">
        <v>102</v>
      </c>
      <c r="D32" t="s">
        <v>303</v>
      </c>
      <c r="F32" t="s">
        <v>217</v>
      </c>
      <c r="G32" t="s">
        <v>311</v>
      </c>
      <c r="H32">
        <v>31</v>
      </c>
      <c r="J32">
        <v>1970</v>
      </c>
      <c r="L32" s="3" t="s">
        <v>556</v>
      </c>
      <c r="N32" s="68"/>
    </row>
    <row r="33" spans="1:12">
      <c r="A33" s="3" t="s">
        <v>86</v>
      </c>
      <c r="B33" t="s">
        <v>352</v>
      </c>
      <c r="D33" t="s">
        <v>304</v>
      </c>
      <c r="G33" t="s">
        <v>125</v>
      </c>
      <c r="H33" s="15"/>
      <c r="J33">
        <v>1971</v>
      </c>
      <c r="L33" s="3" t="s">
        <v>557</v>
      </c>
    </row>
    <row r="34" spans="1:12">
      <c r="A34" s="3" t="s">
        <v>87</v>
      </c>
      <c r="B34" t="s">
        <v>103</v>
      </c>
      <c r="D34" t="s">
        <v>305</v>
      </c>
      <c r="J34">
        <v>1972</v>
      </c>
      <c r="L34" s="3" t="s">
        <v>558</v>
      </c>
    </row>
    <row r="35" spans="1:12">
      <c r="B35" t="s">
        <v>104</v>
      </c>
      <c r="D35" t="s">
        <v>306</v>
      </c>
      <c r="J35">
        <v>1973</v>
      </c>
      <c r="L35" s="3" t="s">
        <v>559</v>
      </c>
    </row>
    <row r="36" spans="1:12">
      <c r="A36" s="3" t="s">
        <v>88</v>
      </c>
      <c r="D36" t="s">
        <v>307</v>
      </c>
      <c r="J36">
        <v>1974</v>
      </c>
      <c r="L36" s="3" t="s">
        <v>560</v>
      </c>
    </row>
    <row r="37" spans="1:12">
      <c r="A37" s="3" t="s">
        <v>201</v>
      </c>
      <c r="D37" t="s">
        <v>308</v>
      </c>
      <c r="J37">
        <v>1975</v>
      </c>
    </row>
    <row r="38" spans="1:12">
      <c r="A38" s="3" t="s">
        <v>590</v>
      </c>
      <c r="D38" t="s">
        <v>309</v>
      </c>
      <c r="J38">
        <v>1976</v>
      </c>
    </row>
    <row r="39" spans="1:12">
      <c r="A39" s="3" t="s">
        <v>89</v>
      </c>
      <c r="D39" t="s">
        <v>312</v>
      </c>
      <c r="J39">
        <v>1977</v>
      </c>
    </row>
    <row r="40" spans="1:12">
      <c r="D40" t="s">
        <v>125</v>
      </c>
      <c r="J40">
        <v>1978</v>
      </c>
    </row>
    <row r="41" spans="1:12">
      <c r="A41" s="3" t="s">
        <v>90</v>
      </c>
      <c r="J41">
        <v>1979</v>
      </c>
    </row>
    <row r="42" spans="1:12">
      <c r="A42" s="3" t="s">
        <v>198</v>
      </c>
      <c r="J42">
        <v>1980</v>
      </c>
    </row>
    <row r="43" spans="1:12">
      <c r="A43" s="3" t="s">
        <v>199</v>
      </c>
      <c r="B43" s="3" t="s">
        <v>718</v>
      </c>
      <c r="E43" t="s">
        <v>218</v>
      </c>
      <c r="G43" t="s">
        <v>463</v>
      </c>
      <c r="J43">
        <v>1981</v>
      </c>
    </row>
    <row r="44" spans="1:12">
      <c r="A44" s="3" t="s">
        <v>200</v>
      </c>
      <c r="B44" s="3" t="s">
        <v>719</v>
      </c>
      <c r="E44" t="s">
        <v>219</v>
      </c>
      <c r="G44" t="s">
        <v>359</v>
      </c>
      <c r="J44">
        <v>1982</v>
      </c>
    </row>
    <row r="45" spans="1:12">
      <c r="A45" s="3" t="s">
        <v>93</v>
      </c>
      <c r="B45" s="3" t="s">
        <v>55</v>
      </c>
      <c r="E45" t="s">
        <v>221</v>
      </c>
      <c r="G45" t="s">
        <v>360</v>
      </c>
      <c r="J45">
        <v>1983</v>
      </c>
    </row>
    <row r="46" spans="1:12">
      <c r="B46" s="3" t="s">
        <v>56</v>
      </c>
      <c r="E46" t="s">
        <v>220</v>
      </c>
      <c r="G46" t="s">
        <v>462</v>
      </c>
      <c r="J46">
        <v>1984</v>
      </c>
    </row>
    <row r="47" spans="1:12">
      <c r="B47" s="3" t="s">
        <v>57</v>
      </c>
      <c r="E47" t="s">
        <v>222</v>
      </c>
      <c r="G47" t="s">
        <v>461</v>
      </c>
      <c r="J47">
        <v>1985</v>
      </c>
    </row>
    <row r="48" spans="1:12">
      <c r="E48" t="s">
        <v>223</v>
      </c>
      <c r="G48" t="s">
        <v>460</v>
      </c>
      <c r="J48">
        <v>1986</v>
      </c>
    </row>
    <row r="49" spans="1:10">
      <c r="J49">
        <v>1987</v>
      </c>
    </row>
    <row r="50" spans="1:10">
      <c r="J50">
        <v>1988</v>
      </c>
    </row>
    <row r="51" spans="1:10">
      <c r="A51" s="3" t="s">
        <v>223</v>
      </c>
      <c r="J51">
        <v>1989</v>
      </c>
    </row>
    <row r="52" spans="1:10">
      <c r="A52" s="3" t="s">
        <v>631</v>
      </c>
      <c r="D52" s="3" t="s">
        <v>746</v>
      </c>
      <c r="J52">
        <v>1990</v>
      </c>
    </row>
    <row r="53" spans="1:10">
      <c r="A53" s="3" t="s">
        <v>630</v>
      </c>
      <c r="B53" s="6"/>
      <c r="C53" s="6"/>
      <c r="D53" s="388" t="s">
        <v>747</v>
      </c>
      <c r="E53" s="6"/>
      <c r="F53" s="6"/>
      <c r="G53" s="6"/>
      <c r="H53" s="6"/>
      <c r="J53">
        <v>1991</v>
      </c>
    </row>
    <row r="54" spans="1:10">
      <c r="A54" s="3" t="s">
        <v>618</v>
      </c>
      <c r="B54" s="6"/>
      <c r="C54" s="6"/>
      <c r="D54" s="388" t="s">
        <v>748</v>
      </c>
      <c r="E54" s="6"/>
      <c r="F54" s="6"/>
      <c r="G54" s="6"/>
      <c r="H54" s="6"/>
      <c r="J54">
        <v>1992</v>
      </c>
    </row>
    <row r="55" spans="1:10">
      <c r="A55" s="3" t="s">
        <v>629</v>
      </c>
      <c r="B55" s="6"/>
      <c r="C55" s="6"/>
      <c r="D55" s="388" t="s">
        <v>749</v>
      </c>
      <c r="E55" s="6"/>
      <c r="F55" s="6"/>
      <c r="G55" s="6"/>
      <c r="H55" s="6"/>
      <c r="J55">
        <v>1993</v>
      </c>
    </row>
    <row r="56" spans="1:10">
      <c r="B56" s="6"/>
      <c r="C56" s="6"/>
      <c r="D56" s="6"/>
      <c r="E56" s="6"/>
      <c r="F56" s="6"/>
      <c r="G56" s="6"/>
      <c r="H56" s="6"/>
      <c r="J56">
        <v>1994</v>
      </c>
    </row>
    <row r="57" spans="1:10">
      <c r="A57" s="3" t="s">
        <v>88</v>
      </c>
      <c r="H57" s="6"/>
      <c r="J57">
        <v>1995</v>
      </c>
    </row>
    <row r="58" spans="1:10">
      <c r="A58" s="3" t="s">
        <v>619</v>
      </c>
      <c r="B58" s="6"/>
      <c r="C58" s="6"/>
      <c r="D58" s="6"/>
      <c r="E58" s="6"/>
      <c r="F58" s="6"/>
      <c r="G58" s="6"/>
      <c r="H58" s="6"/>
      <c r="J58">
        <v>1996</v>
      </c>
    </row>
    <row r="59" spans="1:10">
      <c r="A59" s="3" t="s">
        <v>620</v>
      </c>
      <c r="B59" s="6"/>
      <c r="C59" s="6"/>
      <c r="D59" s="6"/>
      <c r="E59" s="6"/>
      <c r="F59" s="6"/>
      <c r="G59" s="6"/>
      <c r="H59" s="6"/>
      <c r="J59">
        <v>1997</v>
      </c>
    </row>
    <row r="60" spans="1:10">
      <c r="A60" s="3" t="s">
        <v>621</v>
      </c>
      <c r="B60" s="6"/>
      <c r="C60" s="6"/>
      <c r="D60" s="6"/>
      <c r="E60" s="6"/>
      <c r="F60" s="6"/>
      <c r="G60" s="6"/>
      <c r="H60" s="6"/>
      <c r="J60">
        <v>1998</v>
      </c>
    </row>
    <row r="61" spans="1:10" ht="14.25" customHeight="1">
      <c r="A61" s="3" t="s">
        <v>622</v>
      </c>
      <c r="B61" s="6"/>
      <c r="C61" s="6"/>
      <c r="D61" s="6"/>
      <c r="E61" s="6"/>
      <c r="F61" s="6"/>
      <c r="G61" s="6"/>
      <c r="H61" s="6"/>
      <c r="J61">
        <v>1999</v>
      </c>
    </row>
    <row r="62" spans="1:10">
      <c r="C62" s="6"/>
      <c r="E62" s="6"/>
      <c r="G62" s="6"/>
      <c r="J62">
        <v>2000</v>
      </c>
    </row>
    <row r="63" spans="1:10">
      <c r="B63" s="6"/>
      <c r="C63" s="6"/>
      <c r="D63" s="6"/>
      <c r="E63" s="6"/>
      <c r="F63" s="6"/>
      <c r="G63" s="6"/>
      <c r="H63" s="6"/>
    </row>
    <row r="64" spans="1:10">
      <c r="A64" s="3" t="s">
        <v>720</v>
      </c>
      <c r="B64" s="6"/>
      <c r="C64" s="6"/>
      <c r="D64" s="6"/>
      <c r="E64" s="6"/>
      <c r="F64" s="6"/>
      <c r="G64" s="6"/>
      <c r="H64" s="6"/>
    </row>
    <row r="65" spans="1:8">
      <c r="A65" s="3" t="s">
        <v>623</v>
      </c>
      <c r="B65" s="6"/>
      <c r="C65" s="6"/>
      <c r="D65" s="6"/>
      <c r="E65" s="6"/>
      <c r="F65" s="6"/>
      <c r="G65" s="6"/>
      <c r="H65" s="6"/>
    </row>
    <row r="66" spans="1:8">
      <c r="A66" s="3" t="s">
        <v>624</v>
      </c>
      <c r="B66" s="6"/>
      <c r="C66" s="6"/>
      <c r="D66" s="6"/>
      <c r="E66" s="6"/>
      <c r="F66" s="6"/>
      <c r="G66" s="6"/>
      <c r="H66" s="6"/>
    </row>
    <row r="67" spans="1:8">
      <c r="A67" s="3" t="s">
        <v>625</v>
      </c>
      <c r="C67" s="6"/>
      <c r="E67" s="6"/>
    </row>
    <row r="68" spans="1:8">
      <c r="A68" s="3" t="s">
        <v>93</v>
      </c>
      <c r="C68" s="6"/>
      <c r="E68" s="6"/>
    </row>
    <row r="69" spans="1:8">
      <c r="C69" s="6"/>
      <c r="E69" s="6"/>
    </row>
    <row r="71" spans="1:8" ht="15.75">
      <c r="A71" t="s">
        <v>265</v>
      </c>
      <c r="B71" s="4"/>
    </row>
    <row r="72" spans="1:8" ht="15.75">
      <c r="A72" t="s">
        <v>202</v>
      </c>
      <c r="B72" s="7"/>
      <c r="F72" s="8"/>
      <c r="G72" s="8"/>
    </row>
    <row r="73" spans="1:8" ht="15.75">
      <c r="A73" t="s">
        <v>203</v>
      </c>
      <c r="B73" s="7"/>
      <c r="F73" s="8"/>
      <c r="G73" s="8"/>
    </row>
    <row r="74" spans="1:8" ht="15.75">
      <c r="A74" t="s">
        <v>204</v>
      </c>
      <c r="B74" s="7"/>
      <c r="F74" s="8"/>
      <c r="G74" s="8"/>
    </row>
    <row r="75" spans="1:8" ht="15.75">
      <c r="A75" t="s">
        <v>205</v>
      </c>
      <c r="B75" s="7"/>
      <c r="F75" s="8"/>
      <c r="G75" s="8"/>
    </row>
    <row r="76" spans="1:8">
      <c r="A76" t="s">
        <v>202</v>
      </c>
      <c r="F76" s="8"/>
      <c r="G76" s="8"/>
    </row>
    <row r="77" spans="1:8">
      <c r="G77" s="8"/>
    </row>
    <row r="78" spans="1:8">
      <c r="A78" t="s">
        <v>38</v>
      </c>
    </row>
    <row r="79" spans="1:8">
      <c r="A79" t="s">
        <v>39</v>
      </c>
    </row>
    <row r="81" spans="2:2" ht="15.75">
      <c r="B81" s="10"/>
    </row>
    <row r="82" spans="2:2" ht="15.75">
      <c r="B82" s="10"/>
    </row>
    <row r="83" spans="2:2" ht="15.75">
      <c r="B83" s="10"/>
    </row>
    <row r="84" spans="2:2" ht="15.75">
      <c r="B84" s="10"/>
    </row>
    <row r="85" spans="2:2" ht="15.75">
      <c r="B85" s="10"/>
    </row>
    <row r="87" spans="2:2" ht="15.75">
      <c r="B87" s="10"/>
    </row>
    <row r="88" spans="2:2" ht="15.75">
      <c r="B88" s="10"/>
    </row>
    <row r="89" spans="2:2" ht="15.75">
      <c r="B89" s="10"/>
    </row>
    <row r="90" spans="2:2" ht="15.75">
      <c r="B90" s="10"/>
    </row>
  </sheetData>
  <phoneticPr fontId="7" type="noConversion"/>
  <pageMargins left="0.78740157499999996" right="0.78740157499999996" top="0.984251969" bottom="0.984251969" header="0.4921259845" footer="0.4921259845"/>
  <pageSetup paperSize="9"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0"/>
  <dimension ref="A1:AA2084"/>
  <sheetViews>
    <sheetView showGridLines="0" showRowColHeaders="0" zoomScale="108" zoomScaleNormal="108" zoomScalePageLayoutView="160" workbookViewId="0">
      <selection activeCell="E8" sqref="E8"/>
    </sheetView>
  </sheetViews>
  <sheetFormatPr baseColWidth="10" defaultColWidth="11.28515625" defaultRowHeight="12.75"/>
  <cols>
    <col min="1" max="1" width="17.85546875" style="37" customWidth="1"/>
    <col min="2" max="2" width="23" style="28" customWidth="1"/>
    <col min="3" max="3" width="19.7109375" style="28" customWidth="1"/>
    <col min="4" max="4" width="17.140625" style="28" customWidth="1"/>
    <col min="5" max="5" width="18.28515625" style="28" customWidth="1"/>
    <col min="6" max="6" width="19.85546875" style="28" customWidth="1"/>
    <col min="7" max="7" width="18" style="36" customWidth="1"/>
    <col min="8" max="8" width="15.85546875" style="36" customWidth="1"/>
    <col min="9" max="9" width="18.140625" style="28" customWidth="1"/>
    <col min="10" max="16384" width="11.28515625" style="28"/>
  </cols>
  <sheetData>
    <row r="1" spans="1:7" s="291" customFormat="1" ht="15.75">
      <c r="A1" s="481" t="s">
        <v>297</v>
      </c>
      <c r="B1" s="482"/>
      <c r="C1" s="482"/>
      <c r="E1" s="292"/>
    </row>
    <row r="2" spans="1:7" s="291" customFormat="1">
      <c r="A2" s="293"/>
    </row>
    <row r="3" spans="1:7" s="291" customFormat="1">
      <c r="A3" s="294" t="s">
        <v>110</v>
      </c>
      <c r="D3" s="295"/>
    </row>
    <row r="4" spans="1:7" s="291" customFormat="1" ht="30" customHeight="1">
      <c r="A4" s="293" t="s">
        <v>112</v>
      </c>
    </row>
    <row r="5" spans="1:7" s="291" customFormat="1">
      <c r="A5" s="294" t="s">
        <v>444</v>
      </c>
      <c r="C5" s="294" t="s">
        <v>117</v>
      </c>
      <c r="E5" s="295"/>
    </row>
    <row r="6" spans="1:7" s="291" customFormat="1" ht="30" customHeight="1">
      <c r="A6" s="293"/>
    </row>
    <row r="7" spans="1:7" s="291" customFormat="1">
      <c r="A7" s="294" t="s">
        <v>111</v>
      </c>
      <c r="C7" s="294" t="s">
        <v>445</v>
      </c>
      <c r="D7" s="295" t="s">
        <v>454</v>
      </c>
      <c r="E7" s="295" t="s">
        <v>452</v>
      </c>
      <c r="F7" s="295" t="s">
        <v>453</v>
      </c>
    </row>
    <row r="8" spans="1:7" s="291" customFormat="1" ht="30" customHeight="1">
      <c r="A8" s="293"/>
      <c r="E8" s="310">
        <v>0</v>
      </c>
      <c r="F8" s="311">
        <v>0</v>
      </c>
    </row>
    <row r="9" spans="1:7" s="291" customFormat="1">
      <c r="C9" s="296"/>
      <c r="D9" s="297"/>
      <c r="E9" s="298"/>
      <c r="F9" s="299"/>
    </row>
    <row r="10" spans="1:7" s="291" customFormat="1">
      <c r="A10" s="300" t="s">
        <v>455</v>
      </c>
      <c r="B10" s="295" t="s">
        <v>456</v>
      </c>
      <c r="C10" s="301" t="s">
        <v>105</v>
      </c>
      <c r="D10" s="295" t="s">
        <v>457</v>
      </c>
      <c r="E10" s="295"/>
      <c r="F10" s="302" t="s">
        <v>458</v>
      </c>
    </row>
    <row r="11" spans="1:7" s="291" customFormat="1" ht="30" customHeight="1">
      <c r="A11" s="293"/>
      <c r="C11" s="303"/>
      <c r="F11" s="304"/>
      <c r="G11" s="305"/>
    </row>
    <row r="12" spans="1:7" s="291" customFormat="1" ht="30" customHeight="1">
      <c r="A12" s="293"/>
      <c r="C12" s="303"/>
      <c r="F12" s="306" t="s">
        <v>459</v>
      </c>
      <c r="G12" s="480" t="s">
        <v>293</v>
      </c>
    </row>
    <row r="13" spans="1:7" s="291" customFormat="1" ht="23.25" customHeight="1">
      <c r="A13" s="293"/>
      <c r="C13" s="307"/>
      <c r="D13" s="308"/>
      <c r="E13" s="308"/>
      <c r="F13" s="309"/>
      <c r="G13" s="480"/>
    </row>
    <row r="14" spans="1:7" s="164" customFormat="1">
      <c r="A14" s="163"/>
      <c r="F14" s="165"/>
      <c r="G14" s="166"/>
    </row>
    <row r="15" spans="1:7" s="313" customFormat="1" ht="15.75">
      <c r="A15" s="312" t="s">
        <v>298</v>
      </c>
      <c r="F15" s="314"/>
      <c r="G15" s="315"/>
    </row>
    <row r="16" spans="1:7" s="313" customFormat="1">
      <c r="A16" s="316"/>
      <c r="D16" s="478"/>
      <c r="E16" s="479"/>
      <c r="F16" s="314"/>
      <c r="G16" s="315"/>
    </row>
    <row r="17" spans="1:27" s="318" customFormat="1" ht="30" customHeight="1">
      <c r="A17" s="317" t="s">
        <v>299</v>
      </c>
      <c r="E17" s="317" t="s">
        <v>109</v>
      </c>
      <c r="F17" s="319" t="s">
        <v>300</v>
      </c>
    </row>
    <row r="18" spans="1:27" s="313" customFormat="1"/>
    <row r="19" spans="1:27" s="313" customFormat="1">
      <c r="A19" s="320" t="s">
        <v>328</v>
      </c>
      <c r="C19" s="321" t="s">
        <v>329</v>
      </c>
      <c r="D19" s="321" t="s">
        <v>330</v>
      </c>
    </row>
    <row r="20" spans="1:27" s="313" customFormat="1" ht="30" customHeight="1">
      <c r="A20" s="317">
        <v>1</v>
      </c>
      <c r="B20" s="322"/>
      <c r="D20" s="323" t="s">
        <v>301</v>
      </c>
    </row>
    <row r="21" spans="1:27" s="313" customFormat="1" ht="30" customHeight="1">
      <c r="A21" s="317">
        <v>2</v>
      </c>
      <c r="D21" s="323" t="s">
        <v>301</v>
      </c>
    </row>
    <row r="22" spans="1:27" s="313" customFormat="1" ht="30" customHeight="1">
      <c r="A22" s="317">
        <v>3</v>
      </c>
      <c r="D22" s="323" t="s">
        <v>301</v>
      </c>
    </row>
    <row r="23" spans="1:27" s="313" customFormat="1">
      <c r="A23" s="320" t="s">
        <v>331</v>
      </c>
      <c r="C23" s="321" t="s">
        <v>329</v>
      </c>
      <c r="D23" s="321" t="s">
        <v>330</v>
      </c>
    </row>
    <row r="24" spans="1:27" s="313" customFormat="1" ht="30" customHeight="1">
      <c r="A24" s="317"/>
      <c r="B24" s="322"/>
      <c r="D24" s="323" t="s">
        <v>301</v>
      </c>
    </row>
    <row r="25" spans="1:27" s="164" customFormat="1">
      <c r="A25" s="163"/>
    </row>
    <row r="26" spans="1:27" s="38" customFormat="1" ht="17.25" customHeight="1">
      <c r="A26" s="82" t="s">
        <v>19</v>
      </c>
      <c r="D26" s="48" t="s">
        <v>25</v>
      </c>
      <c r="H26" s="48" t="s">
        <v>25</v>
      </c>
      <c r="M26" s="167"/>
      <c r="N26" s="167"/>
      <c r="O26" s="167"/>
      <c r="P26" s="167"/>
      <c r="Q26" s="167"/>
      <c r="R26" s="167"/>
      <c r="S26" s="167"/>
      <c r="T26" s="167"/>
      <c r="U26" s="167"/>
      <c r="V26" s="167"/>
      <c r="W26" s="167"/>
      <c r="X26" s="167"/>
      <c r="Y26" s="167"/>
      <c r="Z26" s="167"/>
      <c r="AA26" s="167"/>
    </row>
    <row r="27" spans="1:27" s="38" customFormat="1" ht="17.25" customHeight="1">
      <c r="A27" s="39"/>
      <c r="B27" s="47"/>
      <c r="C27" s="46" t="s">
        <v>4</v>
      </c>
      <c r="D27" s="46" t="s">
        <v>5</v>
      </c>
      <c r="E27" s="43" t="s">
        <v>21</v>
      </c>
      <c r="G27" s="46" t="s">
        <v>4</v>
      </c>
      <c r="H27" s="46" t="s">
        <v>5</v>
      </c>
      <c r="M27" s="167"/>
      <c r="N27" s="167"/>
      <c r="O27" s="167"/>
      <c r="P27" s="167"/>
      <c r="Q27" s="167"/>
      <c r="R27" s="167"/>
      <c r="S27" s="167"/>
      <c r="T27" s="167"/>
      <c r="U27" s="167"/>
      <c r="V27" s="167"/>
      <c r="W27" s="167"/>
      <c r="X27" s="167"/>
      <c r="Y27" s="167"/>
      <c r="Z27" s="167"/>
      <c r="AA27" s="167"/>
    </row>
    <row r="28" spans="1:27" s="38" customFormat="1" ht="15.75" customHeight="1">
      <c r="A28" s="45" t="s">
        <v>20</v>
      </c>
      <c r="B28" s="29" t="s">
        <v>35</v>
      </c>
      <c r="C28" s="40"/>
      <c r="D28" s="40"/>
      <c r="F28" s="290" t="s">
        <v>36</v>
      </c>
      <c r="G28" s="40"/>
      <c r="H28" s="40"/>
      <c r="M28" s="167"/>
      <c r="N28" s="167"/>
      <c r="O28" s="167"/>
      <c r="P28" s="167"/>
      <c r="Q28" s="167"/>
      <c r="R28" s="167"/>
      <c r="S28" s="167"/>
      <c r="T28" s="167"/>
      <c r="U28" s="167"/>
      <c r="V28" s="167"/>
      <c r="W28" s="167"/>
      <c r="X28" s="167"/>
      <c r="Y28" s="167"/>
      <c r="Z28" s="167"/>
      <c r="AA28" s="167"/>
    </row>
    <row r="29" spans="1:27" s="38" customFormat="1" ht="15.75" customHeight="1">
      <c r="A29" s="44" t="s">
        <v>22</v>
      </c>
      <c r="B29" s="41" t="s">
        <v>1</v>
      </c>
      <c r="C29" s="41"/>
      <c r="D29" s="41"/>
      <c r="F29" s="49" t="s">
        <v>0</v>
      </c>
      <c r="M29" s="167"/>
      <c r="N29" s="167"/>
      <c r="O29" s="167"/>
      <c r="P29" s="167"/>
      <c r="Q29" s="167"/>
      <c r="R29" s="167"/>
      <c r="S29" s="167"/>
      <c r="T29" s="167"/>
      <c r="U29" s="167"/>
      <c r="V29" s="167"/>
      <c r="W29" s="167"/>
      <c r="X29" s="167"/>
      <c r="Y29" s="167"/>
      <c r="Z29" s="167"/>
      <c r="AA29" s="167"/>
    </row>
    <row r="30" spans="1:27" s="38" customFormat="1" ht="6" customHeight="1">
      <c r="A30" s="39"/>
      <c r="B30" s="41"/>
      <c r="C30" s="41"/>
      <c r="D30" s="41"/>
      <c r="M30" s="167"/>
      <c r="N30" s="167"/>
      <c r="O30" s="167"/>
      <c r="P30" s="167"/>
      <c r="Q30" s="167"/>
      <c r="R30" s="167"/>
      <c r="S30" s="167"/>
      <c r="T30" s="167"/>
      <c r="U30" s="167"/>
      <c r="V30" s="167"/>
      <c r="W30" s="167"/>
      <c r="X30" s="167"/>
      <c r="Y30" s="167"/>
      <c r="Z30" s="167"/>
      <c r="AA30" s="167"/>
    </row>
    <row r="31" spans="1:27" s="169" customFormat="1" ht="6" customHeight="1">
      <c r="A31" s="168"/>
    </row>
    <row r="32" spans="1:27" s="38" customFormat="1" ht="6" customHeight="1">
      <c r="A32" s="39"/>
      <c r="B32" s="41"/>
      <c r="C32" s="41"/>
      <c r="D32" s="41"/>
      <c r="M32" s="167"/>
      <c r="N32" s="167"/>
      <c r="O32" s="167"/>
      <c r="P32" s="167"/>
      <c r="Q32" s="167"/>
      <c r="R32" s="167"/>
      <c r="S32" s="167"/>
      <c r="T32" s="167"/>
      <c r="U32" s="167"/>
      <c r="V32" s="167"/>
      <c r="W32" s="167"/>
      <c r="X32" s="167"/>
      <c r="Y32" s="167"/>
      <c r="Z32" s="167"/>
      <c r="AA32" s="167"/>
    </row>
    <row r="33" spans="1:27" s="38" customFormat="1" ht="6" customHeight="1">
      <c r="B33" s="41"/>
      <c r="C33" s="41"/>
      <c r="D33" s="41"/>
      <c r="M33" s="167"/>
      <c r="N33" s="167"/>
      <c r="O33" s="167"/>
      <c r="P33" s="167"/>
      <c r="Q33" s="167"/>
      <c r="R33" s="167"/>
      <c r="S33" s="167"/>
      <c r="T33" s="167"/>
      <c r="U33" s="167"/>
      <c r="V33" s="167"/>
      <c r="W33" s="167"/>
      <c r="X33" s="167"/>
      <c r="Y33" s="167"/>
      <c r="Z33" s="167"/>
      <c r="AA33" s="167"/>
    </row>
    <row r="34" spans="1:27" s="38" customFormat="1" ht="15.75" customHeight="1">
      <c r="A34" s="45" t="s">
        <v>20</v>
      </c>
      <c r="B34" s="29" t="s">
        <v>35</v>
      </c>
      <c r="C34" s="40"/>
      <c r="D34" s="40"/>
      <c r="F34" s="290" t="s">
        <v>36</v>
      </c>
      <c r="G34" s="40"/>
      <c r="H34" s="40"/>
      <c r="M34" s="167"/>
      <c r="N34" s="167"/>
      <c r="O34" s="167"/>
      <c r="P34" s="167"/>
      <c r="Q34" s="167"/>
      <c r="R34" s="167"/>
      <c r="S34" s="167"/>
      <c r="T34" s="167"/>
      <c r="U34" s="167"/>
      <c r="V34" s="167"/>
      <c r="W34" s="167"/>
      <c r="X34" s="167"/>
      <c r="Y34" s="167"/>
      <c r="Z34" s="167"/>
      <c r="AA34" s="167"/>
    </row>
    <row r="35" spans="1:27" s="38" customFormat="1" ht="15.75" customHeight="1">
      <c r="A35" s="44" t="s">
        <v>23</v>
      </c>
      <c r="B35" s="41" t="s">
        <v>2</v>
      </c>
      <c r="C35" s="41"/>
      <c r="D35" s="41"/>
      <c r="F35" s="49" t="s">
        <v>3</v>
      </c>
      <c r="M35" s="167"/>
      <c r="N35" s="167"/>
      <c r="O35" s="167"/>
      <c r="P35" s="167"/>
      <c r="Q35" s="167"/>
      <c r="R35" s="167"/>
      <c r="S35" s="167"/>
      <c r="T35" s="167"/>
      <c r="U35" s="167"/>
      <c r="V35" s="167"/>
      <c r="W35" s="167"/>
      <c r="X35" s="167"/>
      <c r="Y35" s="167"/>
      <c r="Z35" s="167"/>
      <c r="AA35" s="167"/>
    </row>
    <row r="36" spans="1:27" s="38" customFormat="1" ht="6" customHeight="1">
      <c r="A36" s="39"/>
      <c r="B36" s="41"/>
      <c r="C36" s="41"/>
      <c r="D36" s="41"/>
      <c r="M36" s="167"/>
      <c r="N36" s="167"/>
      <c r="O36" s="167"/>
      <c r="P36" s="167"/>
      <c r="Q36" s="167"/>
      <c r="R36" s="167"/>
      <c r="S36" s="167"/>
      <c r="T36" s="167"/>
      <c r="U36" s="167"/>
      <c r="V36" s="167"/>
      <c r="W36" s="167"/>
      <c r="X36" s="167"/>
      <c r="Y36" s="167"/>
      <c r="Z36" s="167"/>
      <c r="AA36" s="167"/>
    </row>
    <row r="37" spans="1:27" s="169" customFormat="1" ht="6" customHeight="1">
      <c r="A37" s="168"/>
    </row>
    <row r="38" spans="1:27" s="38" customFormat="1" ht="6" customHeight="1">
      <c r="A38" s="39"/>
      <c r="B38" s="41"/>
      <c r="C38" s="41"/>
      <c r="D38" s="41"/>
      <c r="M38" s="167"/>
      <c r="N38" s="167"/>
      <c r="O38" s="167"/>
      <c r="P38" s="167"/>
      <c r="Q38" s="167"/>
      <c r="R38" s="167"/>
      <c r="S38" s="167"/>
      <c r="T38" s="167"/>
      <c r="U38" s="167"/>
      <c r="V38" s="167"/>
      <c r="W38" s="167"/>
      <c r="X38" s="167"/>
      <c r="Y38" s="167"/>
      <c r="Z38" s="167"/>
      <c r="AA38" s="167"/>
    </row>
    <row r="39" spans="1:27" s="38" customFormat="1" ht="6" customHeight="1">
      <c r="B39" s="41"/>
      <c r="C39" s="41"/>
      <c r="D39" s="41"/>
      <c r="M39" s="167"/>
      <c r="N39" s="167"/>
      <c r="O39" s="167"/>
      <c r="P39" s="167"/>
      <c r="Q39" s="167"/>
      <c r="R39" s="167"/>
      <c r="S39" s="167"/>
      <c r="T39" s="167"/>
      <c r="U39" s="167"/>
      <c r="V39" s="167"/>
      <c r="W39" s="167"/>
      <c r="X39" s="167"/>
      <c r="Y39" s="167"/>
      <c r="Z39" s="167"/>
      <c r="AA39" s="167"/>
    </row>
    <row r="40" spans="1:27" s="38" customFormat="1" ht="15.75" customHeight="1">
      <c r="A40" s="42" t="s">
        <v>454</v>
      </c>
      <c r="B40" s="29" t="s">
        <v>29</v>
      </c>
      <c r="C40" s="40"/>
      <c r="D40" s="40"/>
      <c r="F40" s="290" t="s">
        <v>30</v>
      </c>
      <c r="G40" s="40"/>
      <c r="H40" s="40"/>
      <c r="M40" s="167"/>
      <c r="N40" s="167"/>
      <c r="O40" s="167"/>
      <c r="P40" s="167"/>
      <c r="Q40" s="167"/>
      <c r="R40" s="167"/>
      <c r="S40" s="167"/>
      <c r="T40" s="167"/>
      <c r="U40" s="167"/>
      <c r="V40" s="167"/>
      <c r="W40" s="167"/>
      <c r="X40" s="167"/>
      <c r="Y40" s="167"/>
      <c r="Z40" s="167"/>
      <c r="AA40" s="167"/>
    </row>
    <row r="41" spans="1:27" s="38" customFormat="1" ht="6" customHeight="1">
      <c r="A41" s="39"/>
      <c r="B41" s="41"/>
      <c r="C41" s="41"/>
      <c r="D41" s="41"/>
      <c r="M41" s="167"/>
      <c r="N41" s="167"/>
      <c r="O41" s="167"/>
      <c r="P41" s="167"/>
      <c r="Q41" s="167"/>
      <c r="R41" s="167"/>
      <c r="S41" s="167"/>
      <c r="T41" s="167"/>
      <c r="U41" s="167"/>
      <c r="V41" s="167"/>
      <c r="W41" s="167"/>
      <c r="X41" s="167"/>
      <c r="Y41" s="167"/>
      <c r="Z41" s="167"/>
      <c r="AA41" s="167"/>
    </row>
    <row r="42" spans="1:27" s="169" customFormat="1" ht="6" customHeight="1">
      <c r="A42" s="168"/>
      <c r="B42" s="170"/>
      <c r="C42" s="170"/>
      <c r="D42" s="170"/>
    </row>
    <row r="43" spans="1:27" s="38" customFormat="1" ht="6" customHeight="1">
      <c r="A43" s="39"/>
      <c r="M43" s="167"/>
      <c r="N43" s="167"/>
      <c r="O43" s="167"/>
      <c r="P43" s="167"/>
      <c r="Q43" s="167"/>
      <c r="R43" s="167"/>
      <c r="S43" s="167"/>
      <c r="T43" s="167"/>
      <c r="U43" s="167"/>
      <c r="V43" s="167"/>
      <c r="W43" s="167"/>
      <c r="X43" s="167"/>
      <c r="Y43" s="167"/>
      <c r="Z43" s="167"/>
      <c r="AA43" s="167"/>
    </row>
    <row r="44" spans="1:27" s="38" customFormat="1" ht="6" customHeight="1">
      <c r="A44" s="39"/>
      <c r="B44" s="41"/>
      <c r="C44" s="41"/>
      <c r="D44" s="41"/>
      <c r="M44" s="167"/>
      <c r="N44" s="167"/>
      <c r="O44" s="167"/>
      <c r="P44" s="167"/>
      <c r="Q44" s="167"/>
      <c r="R44" s="167"/>
      <c r="S44" s="167"/>
      <c r="T44" s="167"/>
      <c r="U44" s="167"/>
      <c r="V44" s="167"/>
      <c r="W44" s="167"/>
      <c r="X44" s="167"/>
      <c r="Y44" s="167"/>
      <c r="Z44" s="167"/>
      <c r="AA44" s="167"/>
    </row>
    <row r="45" spans="1:27" s="38" customFormat="1" ht="6" customHeight="1">
      <c r="B45" s="43"/>
      <c r="C45" s="41"/>
      <c r="D45" s="41"/>
      <c r="F45" s="43"/>
      <c r="M45" s="167"/>
      <c r="N45" s="167"/>
      <c r="O45" s="167"/>
      <c r="P45" s="167"/>
      <c r="Q45" s="167"/>
      <c r="R45" s="167"/>
      <c r="S45" s="167"/>
      <c r="T45" s="167"/>
      <c r="U45" s="167"/>
      <c r="V45" s="167"/>
      <c r="W45" s="167"/>
      <c r="X45" s="167"/>
      <c r="Y45" s="167"/>
      <c r="Z45" s="167"/>
      <c r="AA45" s="167"/>
    </row>
    <row r="46" spans="1:27" s="38" customFormat="1" ht="15.75" customHeight="1">
      <c r="A46" s="42" t="s">
        <v>24</v>
      </c>
      <c r="B46" s="290" t="str">
        <f>IF($E$8=0,"NC","Frère 1")</f>
        <v>NC</v>
      </c>
      <c r="C46" s="40"/>
      <c r="D46" s="40"/>
      <c r="F46" s="29" t="str">
        <f>IF($F$8=0,"NC","Sœur 1")</f>
        <v>NC</v>
      </c>
      <c r="G46" s="40"/>
      <c r="H46" s="40"/>
      <c r="M46" s="167"/>
      <c r="N46" s="167"/>
      <c r="O46" s="167"/>
      <c r="P46" s="167"/>
      <c r="Q46" s="167"/>
      <c r="R46" s="167"/>
      <c r="S46" s="167"/>
      <c r="T46" s="167"/>
      <c r="U46" s="167"/>
      <c r="V46" s="167"/>
      <c r="W46" s="167"/>
      <c r="X46" s="167"/>
      <c r="Y46" s="167"/>
      <c r="Z46" s="167"/>
      <c r="AA46" s="167"/>
    </row>
    <row r="47" spans="1:27" s="38" customFormat="1" ht="15.75" customHeight="1">
      <c r="A47" s="39"/>
      <c r="B47" s="41"/>
      <c r="C47" s="41"/>
      <c r="D47" s="41"/>
      <c r="F47" s="41"/>
      <c r="G47" s="41"/>
      <c r="H47" s="41"/>
      <c r="M47" s="167"/>
      <c r="N47" s="167"/>
      <c r="O47" s="167"/>
      <c r="P47" s="167"/>
      <c r="Q47" s="167"/>
      <c r="R47" s="167"/>
      <c r="S47" s="167"/>
      <c r="T47" s="167"/>
      <c r="U47" s="167"/>
      <c r="V47" s="167"/>
      <c r="W47" s="167"/>
      <c r="X47" s="167"/>
      <c r="Y47" s="167"/>
      <c r="Z47" s="167"/>
      <c r="AA47" s="167"/>
    </row>
    <row r="48" spans="1:27" s="38" customFormat="1" ht="15.75" customHeight="1">
      <c r="A48" s="39"/>
      <c r="B48" s="41"/>
      <c r="C48" s="41"/>
      <c r="D48" s="41"/>
      <c r="F48" s="41"/>
      <c r="G48" s="41"/>
      <c r="H48" s="41"/>
      <c r="M48" s="167"/>
      <c r="N48" s="167"/>
      <c r="O48" s="167"/>
      <c r="P48" s="167"/>
      <c r="Q48" s="167"/>
      <c r="R48" s="167"/>
      <c r="S48" s="167"/>
      <c r="T48" s="167"/>
      <c r="U48" s="167"/>
      <c r="V48" s="167"/>
      <c r="W48" s="167"/>
      <c r="X48" s="167"/>
      <c r="Y48" s="167"/>
      <c r="Z48" s="167"/>
      <c r="AA48" s="167"/>
    </row>
    <row r="49" spans="1:27" s="38" customFormat="1" ht="15.75" customHeight="1">
      <c r="A49" s="39"/>
      <c r="B49" s="290" t="str">
        <f>IF(E8&lt;2,"","Frère 2")</f>
        <v/>
      </c>
      <c r="C49" s="40"/>
      <c r="D49" s="40"/>
      <c r="F49" s="29" t="str">
        <f>IF($F$8&lt;2,"","Sœur 2")</f>
        <v/>
      </c>
      <c r="G49" s="40"/>
      <c r="H49" s="40"/>
      <c r="M49" s="167"/>
      <c r="N49" s="167"/>
      <c r="O49" s="167"/>
      <c r="P49" s="167"/>
      <c r="Q49" s="167"/>
      <c r="R49" s="167"/>
      <c r="S49" s="167"/>
      <c r="T49" s="167"/>
      <c r="U49" s="167"/>
      <c r="V49" s="167"/>
      <c r="W49" s="167"/>
      <c r="X49" s="167"/>
      <c r="Y49" s="167"/>
      <c r="Z49" s="167"/>
      <c r="AA49" s="167"/>
    </row>
    <row r="50" spans="1:27" s="38" customFormat="1" ht="15.75" customHeight="1">
      <c r="A50" s="39"/>
      <c r="B50" s="41"/>
      <c r="C50" s="41"/>
      <c r="D50" s="41"/>
      <c r="F50" s="41"/>
      <c r="G50" s="41"/>
      <c r="H50" s="41"/>
      <c r="M50" s="167"/>
      <c r="N50" s="167"/>
      <c r="O50" s="167"/>
      <c r="P50" s="167"/>
      <c r="Q50" s="167"/>
      <c r="R50" s="167"/>
      <c r="S50" s="167"/>
      <c r="T50" s="167"/>
      <c r="U50" s="167"/>
      <c r="V50" s="167"/>
      <c r="W50" s="167"/>
      <c r="X50" s="167"/>
      <c r="Y50" s="167"/>
      <c r="Z50" s="167"/>
      <c r="AA50" s="167"/>
    </row>
    <row r="51" spans="1:27" s="38" customFormat="1" ht="15.75" customHeight="1">
      <c r="A51" s="39"/>
      <c r="B51" s="41"/>
      <c r="C51" s="41"/>
      <c r="D51" s="41"/>
      <c r="F51" s="41"/>
      <c r="G51" s="41"/>
      <c r="H51" s="41"/>
      <c r="M51" s="167"/>
      <c r="N51" s="167"/>
      <c r="O51" s="167"/>
      <c r="P51" s="167"/>
      <c r="Q51" s="167"/>
      <c r="R51" s="167"/>
      <c r="S51" s="167"/>
      <c r="T51" s="167"/>
      <c r="U51" s="167"/>
      <c r="V51" s="167"/>
      <c r="W51" s="167"/>
      <c r="X51" s="167"/>
      <c r="Y51" s="167"/>
      <c r="Z51" s="167"/>
      <c r="AA51" s="167"/>
    </row>
    <row r="52" spans="1:27" s="38" customFormat="1" ht="15.75" customHeight="1">
      <c r="A52" s="39"/>
      <c r="B52" s="290" t="str">
        <f>IF(E8&lt;3,"","Frère 3")</f>
        <v/>
      </c>
      <c r="C52" s="40"/>
      <c r="D52" s="40"/>
      <c r="F52" s="29" t="str">
        <f>IF($F$8&lt;3,"","Sœur 3")</f>
        <v/>
      </c>
      <c r="G52" s="40"/>
      <c r="H52" s="40"/>
      <c r="M52" s="167"/>
      <c r="N52" s="167"/>
      <c r="O52" s="167"/>
      <c r="P52" s="167"/>
      <c r="Q52" s="167"/>
      <c r="R52" s="167"/>
      <c r="S52" s="167"/>
      <c r="T52" s="167"/>
      <c r="U52" s="167"/>
      <c r="V52" s="167"/>
      <c r="W52" s="167"/>
      <c r="X52" s="167"/>
      <c r="Y52" s="167"/>
      <c r="Z52" s="167"/>
      <c r="AA52" s="167"/>
    </row>
    <row r="53" spans="1:27" s="38" customFormat="1" ht="15.75" customHeight="1">
      <c r="A53" s="39"/>
      <c r="B53" s="41"/>
      <c r="C53" s="41"/>
      <c r="D53" s="41"/>
      <c r="F53" s="41"/>
      <c r="G53" s="41"/>
      <c r="H53" s="41"/>
      <c r="M53" s="167"/>
      <c r="N53" s="167"/>
      <c r="O53" s="167"/>
      <c r="P53" s="167"/>
      <c r="Q53" s="167"/>
      <c r="R53" s="167"/>
      <c r="S53" s="167"/>
      <c r="T53" s="167"/>
      <c r="U53" s="167"/>
      <c r="V53" s="167"/>
      <c r="W53" s="167"/>
      <c r="X53" s="167"/>
      <c r="Y53" s="167"/>
      <c r="Z53" s="167"/>
      <c r="AA53" s="167"/>
    </row>
    <row r="54" spans="1:27" s="38" customFormat="1" ht="15.75" customHeight="1">
      <c r="A54" s="39"/>
      <c r="B54" s="41"/>
      <c r="C54" s="41"/>
      <c r="D54" s="41"/>
      <c r="F54" s="41"/>
      <c r="G54" s="41"/>
      <c r="H54" s="41"/>
      <c r="M54" s="167"/>
      <c r="N54" s="167"/>
      <c r="O54" s="167"/>
      <c r="P54" s="167"/>
      <c r="Q54" s="167"/>
      <c r="R54" s="167"/>
      <c r="S54" s="167"/>
      <c r="T54" s="167"/>
      <c r="U54" s="167"/>
      <c r="V54" s="167"/>
      <c r="W54" s="167"/>
      <c r="X54" s="167"/>
      <c r="Y54" s="167"/>
      <c r="Z54" s="167"/>
      <c r="AA54" s="167"/>
    </row>
    <row r="55" spans="1:27" s="38" customFormat="1" ht="15.75" customHeight="1">
      <c r="A55" s="39"/>
      <c r="B55" s="290" t="str">
        <f>IF($E$8&lt;4,"","Frère 4")</f>
        <v/>
      </c>
      <c r="C55" s="40"/>
      <c r="D55" s="40"/>
      <c r="F55" s="29" t="str">
        <f>IF($F$8&lt;4,"","Sœur 4")</f>
        <v/>
      </c>
      <c r="G55" s="40"/>
      <c r="H55" s="40"/>
      <c r="M55" s="167"/>
      <c r="N55" s="167"/>
      <c r="O55" s="167"/>
      <c r="P55" s="167"/>
      <c r="Q55" s="167"/>
      <c r="R55" s="167"/>
      <c r="S55" s="167"/>
      <c r="T55" s="167"/>
      <c r="U55" s="167"/>
      <c r="V55" s="167"/>
      <c r="W55" s="167"/>
      <c r="X55" s="167"/>
      <c r="Y55" s="167"/>
      <c r="Z55" s="167"/>
      <c r="AA55" s="167"/>
    </row>
    <row r="56" spans="1:27" s="38" customFormat="1" ht="15.75" customHeight="1">
      <c r="A56" s="39"/>
      <c r="B56" s="41"/>
      <c r="C56" s="41"/>
      <c r="D56" s="41"/>
      <c r="F56" s="41"/>
      <c r="G56" s="41"/>
      <c r="H56" s="41"/>
      <c r="M56" s="167"/>
      <c r="N56" s="167"/>
      <c r="O56" s="167"/>
      <c r="P56" s="167"/>
      <c r="Q56" s="167"/>
      <c r="R56" s="167"/>
      <c r="S56" s="167"/>
      <c r="T56" s="167"/>
      <c r="U56" s="167"/>
      <c r="V56" s="167"/>
      <c r="W56" s="167"/>
      <c r="X56" s="167"/>
      <c r="Y56" s="167"/>
      <c r="Z56" s="167"/>
      <c r="AA56" s="167"/>
    </row>
    <row r="57" spans="1:27" s="38" customFormat="1" ht="15.75" customHeight="1">
      <c r="A57" s="39"/>
      <c r="B57" s="41"/>
      <c r="C57" s="41"/>
      <c r="D57" s="41"/>
      <c r="F57" s="41"/>
      <c r="G57" s="41"/>
      <c r="H57" s="41"/>
      <c r="M57" s="167"/>
      <c r="N57" s="167"/>
      <c r="O57" s="167"/>
      <c r="P57" s="167"/>
      <c r="Q57" s="167"/>
      <c r="R57" s="167"/>
      <c r="S57" s="167"/>
      <c r="T57" s="167"/>
      <c r="U57" s="167"/>
      <c r="V57" s="167"/>
      <c r="W57" s="167"/>
      <c r="X57" s="167"/>
      <c r="Y57" s="167"/>
      <c r="Z57" s="167"/>
      <c r="AA57" s="167"/>
    </row>
    <row r="58" spans="1:27" s="38" customFormat="1" ht="15.75" customHeight="1">
      <c r="A58" s="39"/>
      <c r="B58" s="290" t="str">
        <f>IF($E$8&lt;5,"","Frère 5")</f>
        <v/>
      </c>
      <c r="C58" s="40"/>
      <c r="D58" s="40"/>
      <c r="F58" s="29" t="str">
        <f>IF($F$8&lt;5,"","Sœur 5")</f>
        <v/>
      </c>
      <c r="G58" s="40"/>
      <c r="H58" s="40"/>
      <c r="M58" s="167"/>
      <c r="N58" s="167"/>
      <c r="O58" s="167"/>
      <c r="P58" s="167"/>
      <c r="Q58" s="167"/>
      <c r="R58" s="167"/>
      <c r="S58" s="167"/>
      <c r="T58" s="167"/>
      <c r="U58" s="167"/>
      <c r="V58" s="167"/>
      <c r="W58" s="167"/>
      <c r="X58" s="167"/>
      <c r="Y58" s="167"/>
      <c r="Z58" s="167"/>
      <c r="AA58" s="167"/>
    </row>
    <row r="59" spans="1:27" s="38" customFormat="1" ht="15.75" customHeight="1">
      <c r="A59" s="39"/>
      <c r="B59" s="41"/>
      <c r="C59" s="41"/>
      <c r="D59" s="41"/>
      <c r="F59" s="41"/>
      <c r="G59" s="41"/>
      <c r="H59" s="41"/>
      <c r="M59" s="167"/>
      <c r="N59" s="167"/>
      <c r="O59" s="167"/>
      <c r="P59" s="167"/>
      <c r="Q59" s="167"/>
      <c r="R59" s="167"/>
      <c r="S59" s="167"/>
      <c r="T59" s="167"/>
      <c r="U59" s="167"/>
      <c r="V59" s="167"/>
      <c r="W59" s="167"/>
      <c r="X59" s="167"/>
      <c r="Y59" s="167"/>
      <c r="Z59" s="167"/>
      <c r="AA59" s="167"/>
    </row>
    <row r="60" spans="1:27" s="38" customFormat="1" ht="15.75" customHeight="1">
      <c r="A60" s="39"/>
      <c r="B60" s="41"/>
      <c r="C60" s="41"/>
      <c r="D60" s="41"/>
      <c r="F60" s="41"/>
      <c r="G60" s="41"/>
      <c r="H60" s="41"/>
      <c r="M60" s="167"/>
      <c r="N60" s="167"/>
      <c r="O60" s="167"/>
      <c r="P60" s="167"/>
      <c r="Q60" s="167"/>
      <c r="R60" s="167"/>
      <c r="S60" s="167"/>
      <c r="T60" s="167"/>
      <c r="U60" s="167"/>
      <c r="V60" s="167"/>
      <c r="W60" s="167"/>
      <c r="X60" s="167"/>
      <c r="Y60" s="167"/>
      <c r="Z60" s="167"/>
      <c r="AA60" s="167"/>
    </row>
    <row r="61" spans="1:27" s="38" customFormat="1" ht="15.75" customHeight="1">
      <c r="A61" s="39"/>
      <c r="B61" s="290" t="str">
        <f>IF($E$8&lt;6,"","Frère 6")</f>
        <v/>
      </c>
      <c r="C61" s="40"/>
      <c r="D61" s="40"/>
      <c r="F61" s="29" t="str">
        <f>IF($F$8&lt;6,"","Sœur 6")</f>
        <v/>
      </c>
      <c r="G61" s="40"/>
      <c r="H61" s="40"/>
      <c r="M61" s="167"/>
      <c r="N61" s="167"/>
      <c r="O61" s="167"/>
      <c r="P61" s="167"/>
      <c r="Q61" s="167"/>
      <c r="R61" s="167"/>
      <c r="S61" s="167"/>
      <c r="T61" s="167"/>
      <c r="U61" s="167"/>
      <c r="V61" s="167"/>
      <c r="W61" s="167"/>
      <c r="X61" s="167"/>
      <c r="Y61" s="167"/>
      <c r="Z61" s="167"/>
      <c r="AA61" s="167"/>
    </row>
    <row r="62" spans="1:27" s="38" customFormat="1">
      <c r="A62" s="39"/>
      <c r="M62" s="167"/>
      <c r="N62" s="167"/>
      <c r="O62" s="167"/>
      <c r="P62" s="167"/>
      <c r="Q62" s="167"/>
      <c r="R62" s="167"/>
      <c r="S62" s="167"/>
      <c r="T62" s="167"/>
      <c r="U62" s="167"/>
      <c r="V62" s="167"/>
      <c r="W62" s="167"/>
      <c r="X62" s="167"/>
      <c r="Y62" s="167"/>
      <c r="Z62" s="167"/>
      <c r="AA62" s="167"/>
    </row>
    <row r="63" spans="1:27" s="202" customFormat="1">
      <c r="A63" s="201"/>
    </row>
    <row r="64" spans="1:27" s="205" customFormat="1" ht="15.75">
      <c r="A64" s="208" t="s">
        <v>706</v>
      </c>
    </row>
    <row r="65" spans="1:5" s="204" customFormat="1">
      <c r="A65" s="203"/>
    </row>
    <row r="66" spans="1:5" s="204" customFormat="1">
      <c r="B66" s="204" t="s">
        <v>707</v>
      </c>
      <c r="C66" s="204" t="s">
        <v>709</v>
      </c>
    </row>
    <row r="67" spans="1:5" s="204" customFormat="1">
      <c r="A67" s="207" t="s">
        <v>708</v>
      </c>
      <c r="B67" s="206"/>
      <c r="C67" s="476"/>
      <c r="D67" s="477"/>
    </row>
    <row r="68" spans="1:5" s="204" customFormat="1">
      <c r="A68" s="207" t="s">
        <v>715</v>
      </c>
      <c r="B68" s="206"/>
      <c r="C68" s="476"/>
      <c r="D68" s="477"/>
    </row>
    <row r="69" spans="1:5" s="204" customFormat="1">
      <c r="A69" s="207" t="s">
        <v>716</v>
      </c>
      <c r="B69" s="206"/>
      <c r="C69" s="476"/>
      <c r="D69" s="477"/>
    </row>
    <row r="70" spans="1:5" s="204" customFormat="1">
      <c r="A70" s="207" t="s">
        <v>717</v>
      </c>
      <c r="B70" s="206"/>
      <c r="C70" s="476"/>
      <c r="D70" s="477"/>
    </row>
    <row r="71" spans="1:5" s="204" customFormat="1">
      <c r="A71" s="203"/>
    </row>
    <row r="72" spans="1:5" s="204" customFormat="1">
      <c r="A72" s="203"/>
      <c r="B72" s="204" t="s">
        <v>710</v>
      </c>
      <c r="C72" s="204" t="s">
        <v>711</v>
      </c>
      <c r="D72" s="204" t="s">
        <v>713</v>
      </c>
      <c r="E72" s="204" t="s">
        <v>712</v>
      </c>
    </row>
    <row r="73" spans="1:5" s="204" customFormat="1">
      <c r="A73" s="207" t="s">
        <v>26</v>
      </c>
      <c r="B73" s="473"/>
      <c r="C73" s="473"/>
      <c r="D73" s="473"/>
      <c r="E73" s="473"/>
    </row>
    <row r="74" spans="1:5" s="204" customFormat="1">
      <c r="A74" s="203"/>
      <c r="B74" s="474"/>
      <c r="C74" s="474"/>
      <c r="D74" s="474"/>
      <c r="E74" s="474"/>
    </row>
    <row r="75" spans="1:5" s="204" customFormat="1">
      <c r="A75" s="203"/>
      <c r="B75" s="474"/>
      <c r="C75" s="474"/>
      <c r="D75" s="474"/>
      <c r="E75" s="474"/>
    </row>
    <row r="76" spans="1:5" s="204" customFormat="1">
      <c r="A76" s="203"/>
      <c r="B76" s="474"/>
      <c r="C76" s="474"/>
      <c r="D76" s="474"/>
      <c r="E76" s="474"/>
    </row>
    <row r="77" spans="1:5" s="204" customFormat="1">
      <c r="A77" s="203"/>
      <c r="B77" s="474"/>
      <c r="C77" s="474"/>
      <c r="D77" s="474"/>
      <c r="E77" s="474"/>
    </row>
    <row r="78" spans="1:5" s="204" customFormat="1">
      <c r="A78" s="203"/>
      <c r="B78" s="474"/>
      <c r="C78" s="474"/>
      <c r="D78" s="474"/>
      <c r="E78" s="474"/>
    </row>
    <row r="79" spans="1:5" s="204" customFormat="1">
      <c r="A79" s="203"/>
      <c r="B79" s="474"/>
      <c r="C79" s="474"/>
      <c r="D79" s="474"/>
      <c r="E79" s="474"/>
    </row>
    <row r="80" spans="1:5" s="204" customFormat="1">
      <c r="A80" s="203"/>
      <c r="B80" s="475"/>
      <c r="C80" s="475"/>
      <c r="D80" s="475"/>
      <c r="E80" s="475"/>
    </row>
    <row r="81" spans="1:2" s="204" customFormat="1">
      <c r="A81" s="203"/>
    </row>
    <row r="82" spans="1:2" s="204" customFormat="1">
      <c r="A82" s="203"/>
    </row>
    <row r="83" spans="1:2" s="204" customFormat="1">
      <c r="A83" s="207" t="s">
        <v>714</v>
      </c>
      <c r="B83" s="473"/>
    </row>
    <row r="84" spans="1:2" s="204" customFormat="1">
      <c r="A84" s="203"/>
      <c r="B84" s="474"/>
    </row>
    <row r="85" spans="1:2" s="204" customFormat="1">
      <c r="A85" s="203"/>
      <c r="B85" s="474"/>
    </row>
    <row r="86" spans="1:2" s="204" customFormat="1">
      <c r="A86" s="203"/>
      <c r="B86" s="474"/>
    </row>
    <row r="87" spans="1:2" s="204" customFormat="1">
      <c r="A87" s="203"/>
      <c r="B87" s="474"/>
    </row>
    <row r="88" spans="1:2" s="204" customFormat="1">
      <c r="A88" s="203"/>
      <c r="B88" s="474"/>
    </row>
    <row r="89" spans="1:2" s="204" customFormat="1">
      <c r="A89" s="203"/>
      <c r="B89" s="474"/>
    </row>
    <row r="90" spans="1:2" s="204" customFormat="1">
      <c r="A90" s="203"/>
      <c r="B90" s="475"/>
    </row>
    <row r="91" spans="1:2" s="204" customFormat="1">
      <c r="A91" s="203"/>
    </row>
    <row r="92" spans="1:2" s="204" customFormat="1">
      <c r="A92" s="203"/>
    </row>
    <row r="93" spans="1:2" s="204" customFormat="1">
      <c r="A93" s="203"/>
    </row>
    <row r="94" spans="1:2" s="204" customFormat="1">
      <c r="A94" s="203"/>
    </row>
    <row r="95" spans="1:2" s="204" customFormat="1">
      <c r="A95" s="203"/>
    </row>
    <row r="96" spans="1:2" s="204" customFormat="1">
      <c r="A96" s="203"/>
    </row>
    <row r="97" spans="1:1" s="204" customFormat="1">
      <c r="A97" s="203"/>
    </row>
    <row r="98" spans="1:1" s="204" customFormat="1">
      <c r="A98" s="203"/>
    </row>
    <row r="99" spans="1:1" s="204" customFormat="1">
      <c r="A99" s="203"/>
    </row>
    <row r="100" spans="1:1" s="204" customFormat="1">
      <c r="A100" s="203"/>
    </row>
    <row r="101" spans="1:1" s="204" customFormat="1">
      <c r="A101" s="203"/>
    </row>
    <row r="102" spans="1:1" s="204" customFormat="1">
      <c r="A102" s="203"/>
    </row>
    <row r="103" spans="1:1" s="204" customFormat="1">
      <c r="A103" s="203"/>
    </row>
    <row r="104" spans="1:1" s="204" customFormat="1">
      <c r="A104" s="203"/>
    </row>
    <row r="105" spans="1:1" s="204" customFormat="1">
      <c r="A105" s="203"/>
    </row>
    <row r="106" spans="1:1" s="204" customFormat="1">
      <c r="A106" s="203"/>
    </row>
    <row r="107" spans="1:1" s="28" customFormat="1">
      <c r="A107" s="37"/>
    </row>
    <row r="108" spans="1:1" s="28" customFormat="1">
      <c r="A108" s="37"/>
    </row>
    <row r="109" spans="1:1" s="28" customFormat="1">
      <c r="A109" s="37"/>
    </row>
    <row r="110" spans="1:1" s="28" customFormat="1">
      <c r="A110" s="37"/>
    </row>
    <row r="111" spans="1:1" s="28" customFormat="1">
      <c r="A111" s="37"/>
    </row>
    <row r="112" spans="1:1" s="28" customFormat="1">
      <c r="A112" s="37"/>
    </row>
    <row r="113" spans="1:1" s="28" customFormat="1">
      <c r="A113" s="37"/>
    </row>
    <row r="114" spans="1:1" s="28" customFormat="1">
      <c r="A114" s="37"/>
    </row>
    <row r="115" spans="1:1" s="28" customFormat="1">
      <c r="A115" s="37"/>
    </row>
    <row r="116" spans="1:1" s="28" customFormat="1">
      <c r="A116" s="37"/>
    </row>
    <row r="117" spans="1:1" s="28" customFormat="1">
      <c r="A117" s="37"/>
    </row>
    <row r="118" spans="1:1" s="28" customFormat="1">
      <c r="A118" s="37"/>
    </row>
    <row r="119" spans="1:1" s="28" customFormat="1">
      <c r="A119" s="37"/>
    </row>
    <row r="120" spans="1:1" s="28" customFormat="1">
      <c r="A120" s="37"/>
    </row>
    <row r="121" spans="1:1" s="28" customFormat="1">
      <c r="A121" s="37"/>
    </row>
    <row r="122" spans="1:1" s="28" customFormat="1">
      <c r="A122" s="37"/>
    </row>
    <row r="123" spans="1:1" s="28" customFormat="1">
      <c r="A123" s="37"/>
    </row>
    <row r="124" spans="1:1" s="28" customFormat="1">
      <c r="A124" s="37"/>
    </row>
    <row r="125" spans="1:1" s="28" customFormat="1">
      <c r="A125" s="37"/>
    </row>
    <row r="126" spans="1:1" s="28" customFormat="1">
      <c r="A126" s="37"/>
    </row>
    <row r="127" spans="1:1" s="28" customFormat="1">
      <c r="A127" s="37"/>
    </row>
    <row r="128" spans="1:1" s="28" customFormat="1">
      <c r="A128" s="37"/>
    </row>
    <row r="129" spans="1:1" s="28" customFormat="1">
      <c r="A129" s="37"/>
    </row>
    <row r="130" spans="1:1" s="28" customFormat="1">
      <c r="A130" s="37"/>
    </row>
    <row r="131" spans="1:1" s="28" customFormat="1">
      <c r="A131" s="37"/>
    </row>
    <row r="132" spans="1:1" s="28" customFormat="1">
      <c r="A132" s="37"/>
    </row>
    <row r="133" spans="1:1" s="28" customFormat="1">
      <c r="A133" s="37"/>
    </row>
    <row r="134" spans="1:1" s="28" customFormat="1">
      <c r="A134" s="37"/>
    </row>
    <row r="135" spans="1:1" s="28" customFormat="1">
      <c r="A135" s="37"/>
    </row>
    <row r="136" spans="1:1" s="28" customFormat="1">
      <c r="A136" s="37"/>
    </row>
    <row r="137" spans="1:1" s="28" customFormat="1">
      <c r="A137" s="37"/>
    </row>
    <row r="138" spans="1:1" s="28" customFormat="1">
      <c r="A138" s="37"/>
    </row>
    <row r="139" spans="1:1" s="28" customFormat="1">
      <c r="A139" s="37"/>
    </row>
    <row r="140" spans="1:1" s="28" customFormat="1">
      <c r="A140" s="37"/>
    </row>
    <row r="141" spans="1:1" s="28" customFormat="1">
      <c r="A141" s="37"/>
    </row>
    <row r="142" spans="1:1" s="28" customFormat="1">
      <c r="A142" s="37"/>
    </row>
    <row r="143" spans="1:1" s="28" customFormat="1">
      <c r="A143" s="37"/>
    </row>
    <row r="144" spans="1:1" s="28" customFormat="1">
      <c r="A144" s="37"/>
    </row>
    <row r="145" spans="1:1" s="28" customFormat="1">
      <c r="A145" s="37"/>
    </row>
    <row r="146" spans="1:1" s="28" customFormat="1">
      <c r="A146" s="37"/>
    </row>
    <row r="147" spans="1:1" s="28" customFormat="1">
      <c r="A147" s="37"/>
    </row>
    <row r="148" spans="1:1" s="28" customFormat="1">
      <c r="A148" s="37"/>
    </row>
    <row r="149" spans="1:1" s="28" customFormat="1">
      <c r="A149" s="37"/>
    </row>
    <row r="150" spans="1:1" s="28" customFormat="1">
      <c r="A150" s="37"/>
    </row>
    <row r="151" spans="1:1" s="28" customFormat="1">
      <c r="A151" s="37"/>
    </row>
    <row r="152" spans="1:1" s="28" customFormat="1">
      <c r="A152" s="37"/>
    </row>
    <row r="153" spans="1:1" s="28" customFormat="1">
      <c r="A153" s="37"/>
    </row>
    <row r="154" spans="1:1" s="28" customFormat="1">
      <c r="A154" s="37"/>
    </row>
    <row r="155" spans="1:1" s="28" customFormat="1">
      <c r="A155" s="37"/>
    </row>
    <row r="156" spans="1:1" s="28" customFormat="1">
      <c r="A156" s="37"/>
    </row>
    <row r="157" spans="1:1" s="28" customFormat="1">
      <c r="A157" s="37"/>
    </row>
    <row r="158" spans="1:1" s="28" customFormat="1">
      <c r="A158" s="37"/>
    </row>
    <row r="159" spans="1:1" s="28" customFormat="1">
      <c r="A159" s="37"/>
    </row>
    <row r="160" spans="1:1" s="28" customFormat="1">
      <c r="A160" s="37"/>
    </row>
    <row r="161" spans="1:1" s="28" customFormat="1">
      <c r="A161" s="37"/>
    </row>
    <row r="162" spans="1:1" s="28" customFormat="1">
      <c r="A162" s="37"/>
    </row>
    <row r="163" spans="1:1" s="28" customFormat="1">
      <c r="A163" s="37"/>
    </row>
    <row r="164" spans="1:1" s="28" customFormat="1">
      <c r="A164" s="37"/>
    </row>
    <row r="165" spans="1:1" s="28" customFormat="1">
      <c r="A165" s="37"/>
    </row>
    <row r="166" spans="1:1" s="28" customFormat="1">
      <c r="A166" s="37"/>
    </row>
    <row r="167" spans="1:1" s="28" customFormat="1">
      <c r="A167" s="37"/>
    </row>
    <row r="168" spans="1:1" s="28" customFormat="1">
      <c r="A168" s="37"/>
    </row>
    <row r="169" spans="1:1" s="28" customFormat="1">
      <c r="A169" s="37"/>
    </row>
    <row r="170" spans="1:1" s="28" customFormat="1">
      <c r="A170" s="37"/>
    </row>
    <row r="171" spans="1:1" s="28" customFormat="1">
      <c r="A171" s="37"/>
    </row>
    <row r="172" spans="1:1" s="28" customFormat="1">
      <c r="A172" s="37"/>
    </row>
    <row r="173" spans="1:1" s="28" customFormat="1">
      <c r="A173" s="37"/>
    </row>
    <row r="174" spans="1:1" s="28" customFormat="1">
      <c r="A174" s="37"/>
    </row>
    <row r="175" spans="1:1" s="28" customFormat="1">
      <c r="A175" s="37"/>
    </row>
    <row r="176" spans="1:1" s="28" customFormat="1">
      <c r="A176" s="37"/>
    </row>
    <row r="177" spans="1:1" s="28" customFormat="1">
      <c r="A177" s="37"/>
    </row>
    <row r="178" spans="1:1" s="28" customFormat="1">
      <c r="A178" s="37"/>
    </row>
    <row r="179" spans="1:1" s="28" customFormat="1">
      <c r="A179" s="37"/>
    </row>
    <row r="180" spans="1:1" s="28" customFormat="1">
      <c r="A180" s="37"/>
    </row>
    <row r="181" spans="1:1" s="28" customFormat="1">
      <c r="A181" s="37"/>
    </row>
    <row r="182" spans="1:1" s="28" customFormat="1">
      <c r="A182" s="37"/>
    </row>
    <row r="183" spans="1:1" s="28" customFormat="1">
      <c r="A183" s="37"/>
    </row>
    <row r="184" spans="1:1" s="28" customFormat="1">
      <c r="A184" s="37"/>
    </row>
    <row r="185" spans="1:1" s="28" customFormat="1">
      <c r="A185" s="37"/>
    </row>
    <row r="186" spans="1:1" s="28" customFormat="1">
      <c r="A186" s="37"/>
    </row>
    <row r="187" spans="1:1" s="28" customFormat="1">
      <c r="A187" s="37"/>
    </row>
    <row r="188" spans="1:1" s="28" customFormat="1">
      <c r="A188" s="37"/>
    </row>
    <row r="189" spans="1:1" s="28" customFormat="1">
      <c r="A189" s="37"/>
    </row>
    <row r="190" spans="1:1" s="28" customFormat="1">
      <c r="A190" s="37"/>
    </row>
    <row r="191" spans="1:1" s="28" customFormat="1">
      <c r="A191" s="37"/>
    </row>
    <row r="192" spans="1:1" s="28" customFormat="1">
      <c r="A192" s="37"/>
    </row>
    <row r="193" spans="1:1" s="28" customFormat="1">
      <c r="A193" s="37"/>
    </row>
    <row r="194" spans="1:1" s="28" customFormat="1">
      <c r="A194" s="37"/>
    </row>
    <row r="195" spans="1:1" s="28" customFormat="1">
      <c r="A195" s="37"/>
    </row>
    <row r="196" spans="1:1" s="28" customFormat="1">
      <c r="A196" s="37"/>
    </row>
    <row r="197" spans="1:1" s="28" customFormat="1">
      <c r="A197" s="37"/>
    </row>
    <row r="198" spans="1:1" s="28" customFormat="1">
      <c r="A198" s="37"/>
    </row>
    <row r="199" spans="1:1" s="28" customFormat="1">
      <c r="A199" s="37"/>
    </row>
    <row r="200" spans="1:1" s="28" customFormat="1">
      <c r="A200" s="37"/>
    </row>
    <row r="201" spans="1:1" s="28" customFormat="1">
      <c r="A201" s="37"/>
    </row>
    <row r="202" spans="1:1" s="28" customFormat="1">
      <c r="A202" s="37"/>
    </row>
    <row r="203" spans="1:1" s="28" customFormat="1">
      <c r="A203" s="37"/>
    </row>
    <row r="204" spans="1:1" s="28" customFormat="1">
      <c r="A204" s="37"/>
    </row>
    <row r="205" spans="1:1" s="28" customFormat="1">
      <c r="A205" s="37"/>
    </row>
    <row r="206" spans="1:1" s="28" customFormat="1">
      <c r="A206" s="37"/>
    </row>
    <row r="207" spans="1:1" s="28" customFormat="1">
      <c r="A207" s="37"/>
    </row>
    <row r="208" spans="1:1" s="28" customFormat="1">
      <c r="A208" s="37"/>
    </row>
    <row r="209" spans="1:1" s="28" customFormat="1">
      <c r="A209" s="37"/>
    </row>
    <row r="210" spans="1:1" s="28" customFormat="1">
      <c r="A210" s="37"/>
    </row>
    <row r="211" spans="1:1" s="28" customFormat="1">
      <c r="A211" s="37"/>
    </row>
    <row r="212" spans="1:1" s="28" customFormat="1">
      <c r="A212" s="37"/>
    </row>
    <row r="213" spans="1:1" s="28" customFormat="1">
      <c r="A213" s="37"/>
    </row>
    <row r="214" spans="1:1" s="28" customFormat="1">
      <c r="A214" s="37"/>
    </row>
    <row r="215" spans="1:1" s="28" customFormat="1">
      <c r="A215" s="37"/>
    </row>
    <row r="216" spans="1:1" s="28" customFormat="1">
      <c r="A216" s="37"/>
    </row>
    <row r="217" spans="1:1" s="28" customFormat="1">
      <c r="A217" s="37"/>
    </row>
    <row r="218" spans="1:1" s="28" customFormat="1">
      <c r="A218" s="37"/>
    </row>
    <row r="219" spans="1:1" s="28" customFormat="1">
      <c r="A219" s="37"/>
    </row>
    <row r="220" spans="1:1" s="28" customFormat="1">
      <c r="A220" s="37"/>
    </row>
    <row r="221" spans="1:1" s="28" customFormat="1">
      <c r="A221" s="37"/>
    </row>
    <row r="222" spans="1:1" s="28" customFormat="1">
      <c r="A222" s="37"/>
    </row>
    <row r="223" spans="1:1" s="28" customFormat="1">
      <c r="A223" s="37"/>
    </row>
    <row r="224" spans="1:1" s="28" customFormat="1">
      <c r="A224" s="37"/>
    </row>
    <row r="225" spans="1:1" s="28" customFormat="1">
      <c r="A225" s="37"/>
    </row>
    <row r="226" spans="1:1" s="28" customFormat="1">
      <c r="A226" s="37"/>
    </row>
    <row r="227" spans="1:1" s="28" customFormat="1">
      <c r="A227" s="37"/>
    </row>
    <row r="228" spans="1:1" s="28" customFormat="1">
      <c r="A228" s="37"/>
    </row>
    <row r="229" spans="1:1" s="28" customFormat="1">
      <c r="A229" s="37"/>
    </row>
    <row r="230" spans="1:1" s="28" customFormat="1">
      <c r="A230" s="37"/>
    </row>
    <row r="231" spans="1:1" s="28" customFormat="1">
      <c r="A231" s="37"/>
    </row>
    <row r="232" spans="1:1" s="28" customFormat="1">
      <c r="A232" s="37"/>
    </row>
    <row r="233" spans="1:1" s="28" customFormat="1">
      <c r="A233" s="37"/>
    </row>
    <row r="234" spans="1:1" s="28" customFormat="1">
      <c r="A234" s="37"/>
    </row>
    <row r="235" spans="1:1" s="28" customFormat="1">
      <c r="A235" s="37"/>
    </row>
    <row r="236" spans="1:1" s="28" customFormat="1">
      <c r="A236" s="37"/>
    </row>
    <row r="237" spans="1:1" s="28" customFormat="1">
      <c r="A237" s="37"/>
    </row>
    <row r="238" spans="1:1" s="28" customFormat="1">
      <c r="A238" s="37"/>
    </row>
    <row r="239" spans="1:1" s="28" customFormat="1">
      <c r="A239" s="37"/>
    </row>
    <row r="240" spans="1:1" s="28" customFormat="1">
      <c r="A240" s="37"/>
    </row>
    <row r="241" spans="1:1" s="28" customFormat="1">
      <c r="A241" s="37"/>
    </row>
    <row r="242" spans="1:1" s="28" customFormat="1">
      <c r="A242" s="37"/>
    </row>
    <row r="243" spans="1:1" s="28" customFormat="1">
      <c r="A243" s="37"/>
    </row>
    <row r="244" spans="1:1" s="28" customFormat="1">
      <c r="A244" s="37"/>
    </row>
    <row r="245" spans="1:1" s="28" customFormat="1">
      <c r="A245" s="37"/>
    </row>
    <row r="246" spans="1:1" s="28" customFormat="1">
      <c r="A246" s="37"/>
    </row>
    <row r="247" spans="1:1" s="28" customFormat="1">
      <c r="A247" s="37"/>
    </row>
    <row r="248" spans="1:1" s="28" customFormat="1">
      <c r="A248" s="37"/>
    </row>
    <row r="249" spans="1:1" s="28" customFormat="1">
      <c r="A249" s="37"/>
    </row>
    <row r="250" spans="1:1" s="28" customFormat="1">
      <c r="A250" s="37"/>
    </row>
    <row r="251" spans="1:1" s="28" customFormat="1">
      <c r="A251" s="37"/>
    </row>
    <row r="252" spans="1:1" s="28" customFormat="1">
      <c r="A252" s="37"/>
    </row>
    <row r="253" spans="1:1" s="28" customFormat="1">
      <c r="A253" s="37"/>
    </row>
    <row r="254" spans="1:1" s="28" customFormat="1">
      <c r="A254" s="37"/>
    </row>
    <row r="255" spans="1:1" s="28" customFormat="1">
      <c r="A255" s="37"/>
    </row>
    <row r="256" spans="1:1" s="28" customFormat="1">
      <c r="A256" s="37"/>
    </row>
    <row r="257" spans="1:1" s="28" customFormat="1">
      <c r="A257" s="37"/>
    </row>
    <row r="258" spans="1:1" s="28" customFormat="1">
      <c r="A258" s="37"/>
    </row>
    <row r="259" spans="1:1" s="28" customFormat="1">
      <c r="A259" s="37"/>
    </row>
    <row r="260" spans="1:1" s="28" customFormat="1">
      <c r="A260" s="37"/>
    </row>
    <row r="261" spans="1:1" s="28" customFormat="1">
      <c r="A261" s="37"/>
    </row>
    <row r="262" spans="1:1" s="28" customFormat="1">
      <c r="A262" s="37"/>
    </row>
    <row r="263" spans="1:1" s="28" customFormat="1">
      <c r="A263" s="37"/>
    </row>
    <row r="264" spans="1:1" s="28" customFormat="1">
      <c r="A264" s="37"/>
    </row>
    <row r="265" spans="1:1" s="28" customFormat="1">
      <c r="A265" s="37"/>
    </row>
    <row r="266" spans="1:1" s="28" customFormat="1">
      <c r="A266" s="37"/>
    </row>
    <row r="267" spans="1:1" s="28" customFormat="1">
      <c r="A267" s="37"/>
    </row>
    <row r="268" spans="1:1" s="28" customFormat="1">
      <c r="A268" s="37"/>
    </row>
    <row r="269" spans="1:1" s="28" customFormat="1">
      <c r="A269" s="37"/>
    </row>
    <row r="270" spans="1:1" s="28" customFormat="1">
      <c r="A270" s="37"/>
    </row>
    <row r="271" spans="1:1" s="28" customFormat="1">
      <c r="A271" s="37"/>
    </row>
    <row r="272" spans="1:1" s="28" customFormat="1">
      <c r="A272" s="37"/>
    </row>
    <row r="273" spans="1:1" s="28" customFormat="1">
      <c r="A273" s="37"/>
    </row>
    <row r="274" spans="1:1" s="28" customFormat="1">
      <c r="A274" s="37"/>
    </row>
    <row r="275" spans="1:1" s="28" customFormat="1">
      <c r="A275" s="37"/>
    </row>
    <row r="276" spans="1:1" s="28" customFormat="1">
      <c r="A276" s="37"/>
    </row>
    <row r="277" spans="1:1" s="28" customFormat="1">
      <c r="A277" s="37"/>
    </row>
    <row r="278" spans="1:1" s="28" customFormat="1">
      <c r="A278" s="37"/>
    </row>
    <row r="279" spans="1:1" s="28" customFormat="1">
      <c r="A279" s="37"/>
    </row>
    <row r="280" spans="1:1" s="28" customFormat="1">
      <c r="A280" s="37"/>
    </row>
    <row r="281" spans="1:1" s="28" customFormat="1">
      <c r="A281" s="37"/>
    </row>
    <row r="282" spans="1:1" s="28" customFormat="1">
      <c r="A282" s="37"/>
    </row>
    <row r="283" spans="1:1" s="28" customFormat="1">
      <c r="A283" s="37"/>
    </row>
    <row r="284" spans="1:1" s="28" customFormat="1">
      <c r="A284" s="37"/>
    </row>
    <row r="285" spans="1:1" s="28" customFormat="1">
      <c r="A285" s="37"/>
    </row>
    <row r="286" spans="1:1" s="28" customFormat="1">
      <c r="A286" s="37"/>
    </row>
    <row r="287" spans="1:1" s="28" customFormat="1">
      <c r="A287" s="37"/>
    </row>
    <row r="288" spans="1:1" s="28" customFormat="1">
      <c r="A288" s="37"/>
    </row>
    <row r="289" spans="1:1" s="28" customFormat="1">
      <c r="A289" s="37"/>
    </row>
    <row r="290" spans="1:1" s="28" customFormat="1">
      <c r="A290" s="37"/>
    </row>
    <row r="291" spans="1:1" s="28" customFormat="1">
      <c r="A291" s="37"/>
    </row>
    <row r="292" spans="1:1" s="28" customFormat="1">
      <c r="A292" s="37"/>
    </row>
    <row r="293" spans="1:1" s="28" customFormat="1">
      <c r="A293" s="37"/>
    </row>
    <row r="294" spans="1:1" s="28" customFormat="1">
      <c r="A294" s="37"/>
    </row>
    <row r="295" spans="1:1" s="28" customFormat="1">
      <c r="A295" s="37"/>
    </row>
    <row r="296" spans="1:1" s="28" customFormat="1">
      <c r="A296" s="37"/>
    </row>
    <row r="297" spans="1:1" s="28" customFormat="1">
      <c r="A297" s="37"/>
    </row>
    <row r="298" spans="1:1" s="28" customFormat="1">
      <c r="A298" s="37"/>
    </row>
    <row r="299" spans="1:1" s="28" customFormat="1">
      <c r="A299" s="37"/>
    </row>
    <row r="300" spans="1:1" s="28" customFormat="1">
      <c r="A300" s="37"/>
    </row>
    <row r="301" spans="1:1" s="28" customFormat="1">
      <c r="A301" s="37"/>
    </row>
    <row r="302" spans="1:1" s="28" customFormat="1">
      <c r="A302" s="37"/>
    </row>
    <row r="303" spans="1:1" s="28" customFormat="1">
      <c r="A303" s="37"/>
    </row>
    <row r="304" spans="1:1" s="28" customFormat="1">
      <c r="A304" s="37"/>
    </row>
    <row r="305" spans="1:1" s="28" customFormat="1">
      <c r="A305" s="37"/>
    </row>
    <row r="306" spans="1:1" s="28" customFormat="1">
      <c r="A306" s="37"/>
    </row>
    <row r="307" spans="1:1" s="28" customFormat="1">
      <c r="A307" s="37"/>
    </row>
    <row r="308" spans="1:1" s="28" customFormat="1">
      <c r="A308" s="37"/>
    </row>
    <row r="309" spans="1:1" s="28" customFormat="1">
      <c r="A309" s="37"/>
    </row>
    <row r="310" spans="1:1" s="28" customFormat="1">
      <c r="A310" s="37"/>
    </row>
    <row r="311" spans="1:1" s="28" customFormat="1">
      <c r="A311" s="37"/>
    </row>
    <row r="312" spans="1:1" s="28" customFormat="1">
      <c r="A312" s="37"/>
    </row>
    <row r="313" spans="1:1" s="28" customFormat="1">
      <c r="A313" s="37"/>
    </row>
    <row r="314" spans="1:1" s="28" customFormat="1">
      <c r="A314" s="37"/>
    </row>
    <row r="315" spans="1:1" s="28" customFormat="1">
      <c r="A315" s="37"/>
    </row>
    <row r="316" spans="1:1" s="28" customFormat="1">
      <c r="A316" s="37"/>
    </row>
    <row r="317" spans="1:1" s="28" customFormat="1">
      <c r="A317" s="37"/>
    </row>
    <row r="318" spans="1:1" s="28" customFormat="1">
      <c r="A318" s="37"/>
    </row>
    <row r="319" spans="1:1" s="28" customFormat="1">
      <c r="A319" s="37"/>
    </row>
    <row r="320" spans="1:1" s="28" customFormat="1">
      <c r="A320" s="37"/>
    </row>
    <row r="321" spans="1:1" s="28" customFormat="1">
      <c r="A321" s="37"/>
    </row>
    <row r="322" spans="1:1" s="28" customFormat="1">
      <c r="A322" s="37"/>
    </row>
    <row r="323" spans="1:1" s="28" customFormat="1">
      <c r="A323" s="37"/>
    </row>
    <row r="324" spans="1:1" s="28" customFormat="1">
      <c r="A324" s="37"/>
    </row>
    <row r="325" spans="1:1" s="28" customFormat="1">
      <c r="A325" s="37"/>
    </row>
    <row r="326" spans="1:1" s="28" customFormat="1">
      <c r="A326" s="37"/>
    </row>
    <row r="327" spans="1:1" s="28" customFormat="1">
      <c r="A327" s="37"/>
    </row>
    <row r="328" spans="1:1" s="28" customFormat="1">
      <c r="A328" s="37"/>
    </row>
    <row r="329" spans="1:1" s="28" customFormat="1">
      <c r="A329" s="37"/>
    </row>
    <row r="330" spans="1:1" s="28" customFormat="1">
      <c r="A330" s="37"/>
    </row>
    <row r="331" spans="1:1" s="28" customFormat="1">
      <c r="A331" s="37"/>
    </row>
    <row r="332" spans="1:1" s="28" customFormat="1">
      <c r="A332" s="37"/>
    </row>
    <row r="333" spans="1:1" s="28" customFormat="1">
      <c r="A333" s="37"/>
    </row>
    <row r="334" spans="1:1" s="28" customFormat="1">
      <c r="A334" s="37"/>
    </row>
    <row r="335" spans="1:1" s="28" customFormat="1">
      <c r="A335" s="37"/>
    </row>
    <row r="336" spans="1:1" s="28" customFormat="1">
      <c r="A336" s="37"/>
    </row>
    <row r="337" spans="1:1" s="28" customFormat="1">
      <c r="A337" s="37"/>
    </row>
    <row r="338" spans="1:1" s="28" customFormat="1">
      <c r="A338" s="37"/>
    </row>
    <row r="339" spans="1:1" s="28" customFormat="1">
      <c r="A339" s="37"/>
    </row>
    <row r="340" spans="1:1" s="28" customFormat="1">
      <c r="A340" s="37"/>
    </row>
    <row r="341" spans="1:1" s="28" customFormat="1">
      <c r="A341" s="37"/>
    </row>
    <row r="342" spans="1:1" s="28" customFormat="1">
      <c r="A342" s="37"/>
    </row>
    <row r="343" spans="1:1" s="28" customFormat="1">
      <c r="A343" s="37"/>
    </row>
    <row r="344" spans="1:1" s="28" customFormat="1">
      <c r="A344" s="37"/>
    </row>
    <row r="345" spans="1:1" s="28" customFormat="1">
      <c r="A345" s="37"/>
    </row>
    <row r="346" spans="1:1" s="28" customFormat="1">
      <c r="A346" s="37"/>
    </row>
    <row r="347" spans="1:1" s="28" customFormat="1">
      <c r="A347" s="37"/>
    </row>
    <row r="348" spans="1:1" s="28" customFormat="1">
      <c r="A348" s="37"/>
    </row>
    <row r="349" spans="1:1" s="28" customFormat="1">
      <c r="A349" s="37"/>
    </row>
    <row r="350" spans="1:1" s="28" customFormat="1">
      <c r="A350" s="37"/>
    </row>
    <row r="351" spans="1:1" s="28" customFormat="1">
      <c r="A351" s="37"/>
    </row>
    <row r="352" spans="1:1" s="28" customFormat="1">
      <c r="A352" s="37"/>
    </row>
    <row r="353" spans="1:1" s="28" customFormat="1">
      <c r="A353" s="37"/>
    </row>
    <row r="354" spans="1:1" s="28" customFormat="1">
      <c r="A354" s="37"/>
    </row>
    <row r="355" spans="1:1" s="28" customFormat="1">
      <c r="A355" s="37"/>
    </row>
    <row r="356" spans="1:1" s="28" customFormat="1">
      <c r="A356" s="37"/>
    </row>
    <row r="357" spans="1:1" s="28" customFormat="1">
      <c r="A357" s="37"/>
    </row>
    <row r="358" spans="1:1" s="28" customFormat="1">
      <c r="A358" s="37"/>
    </row>
    <row r="359" spans="1:1" s="28" customFormat="1">
      <c r="A359" s="37"/>
    </row>
    <row r="360" spans="1:1" s="28" customFormat="1">
      <c r="A360" s="37"/>
    </row>
    <row r="361" spans="1:1" s="28" customFormat="1">
      <c r="A361" s="37"/>
    </row>
    <row r="362" spans="1:1" s="28" customFormat="1">
      <c r="A362" s="37"/>
    </row>
    <row r="363" spans="1:1" s="28" customFormat="1">
      <c r="A363" s="37"/>
    </row>
    <row r="364" spans="1:1" s="28" customFormat="1">
      <c r="A364" s="37"/>
    </row>
    <row r="365" spans="1:1" s="28" customFormat="1">
      <c r="A365" s="37"/>
    </row>
    <row r="366" spans="1:1" s="28" customFormat="1">
      <c r="A366" s="37"/>
    </row>
    <row r="367" spans="1:1" s="28" customFormat="1">
      <c r="A367" s="37"/>
    </row>
    <row r="368" spans="1:1" s="28" customFormat="1">
      <c r="A368" s="37"/>
    </row>
    <row r="369" spans="1:1" s="28" customFormat="1">
      <c r="A369" s="37"/>
    </row>
    <row r="370" spans="1:1" s="28" customFormat="1">
      <c r="A370" s="37"/>
    </row>
    <row r="371" spans="1:1" s="28" customFormat="1">
      <c r="A371" s="37"/>
    </row>
    <row r="372" spans="1:1" s="28" customFormat="1">
      <c r="A372" s="37"/>
    </row>
    <row r="373" spans="1:1" s="28" customFormat="1">
      <c r="A373" s="37"/>
    </row>
    <row r="374" spans="1:1" s="28" customFormat="1">
      <c r="A374" s="37"/>
    </row>
    <row r="375" spans="1:1" s="28" customFormat="1">
      <c r="A375" s="37"/>
    </row>
    <row r="376" spans="1:1" s="28" customFormat="1">
      <c r="A376" s="37"/>
    </row>
    <row r="377" spans="1:1" s="28" customFormat="1">
      <c r="A377" s="37"/>
    </row>
    <row r="378" spans="1:1" s="28" customFormat="1">
      <c r="A378" s="37"/>
    </row>
    <row r="379" spans="1:1" s="28" customFormat="1">
      <c r="A379" s="37"/>
    </row>
    <row r="380" spans="1:1" s="28" customFormat="1">
      <c r="A380" s="37"/>
    </row>
    <row r="381" spans="1:1" s="28" customFormat="1">
      <c r="A381" s="37"/>
    </row>
    <row r="382" spans="1:1" s="28" customFormat="1">
      <c r="A382" s="37"/>
    </row>
    <row r="383" spans="1:1" s="28" customFormat="1">
      <c r="A383" s="37"/>
    </row>
    <row r="384" spans="1:1" s="28" customFormat="1">
      <c r="A384" s="37"/>
    </row>
    <row r="385" spans="1:1" s="28" customFormat="1">
      <c r="A385" s="37"/>
    </row>
    <row r="386" spans="1:1" s="28" customFormat="1">
      <c r="A386" s="37"/>
    </row>
    <row r="387" spans="1:1" s="28" customFormat="1">
      <c r="A387" s="37"/>
    </row>
    <row r="388" spans="1:1" s="28" customFormat="1">
      <c r="A388" s="37"/>
    </row>
    <row r="389" spans="1:1" s="28" customFormat="1">
      <c r="A389" s="37"/>
    </row>
    <row r="390" spans="1:1" s="28" customFormat="1">
      <c r="A390" s="37"/>
    </row>
    <row r="391" spans="1:1" s="28" customFormat="1">
      <c r="A391" s="37"/>
    </row>
    <row r="392" spans="1:1" s="28" customFormat="1">
      <c r="A392" s="37"/>
    </row>
    <row r="393" spans="1:1" s="28" customFormat="1">
      <c r="A393" s="37"/>
    </row>
    <row r="394" spans="1:1" s="28" customFormat="1">
      <c r="A394" s="37"/>
    </row>
    <row r="395" spans="1:1" s="28" customFormat="1">
      <c r="A395" s="37"/>
    </row>
    <row r="396" spans="1:1" s="28" customFormat="1">
      <c r="A396" s="37"/>
    </row>
    <row r="397" spans="1:1" s="28" customFormat="1">
      <c r="A397" s="37"/>
    </row>
    <row r="398" spans="1:1" s="28" customFormat="1">
      <c r="A398" s="37"/>
    </row>
    <row r="399" spans="1:1" s="28" customFormat="1">
      <c r="A399" s="37"/>
    </row>
    <row r="400" spans="1:1" s="28" customFormat="1">
      <c r="A400" s="37"/>
    </row>
    <row r="401" spans="1:1" s="28" customFormat="1">
      <c r="A401" s="37"/>
    </row>
    <row r="402" spans="1:1" s="28" customFormat="1">
      <c r="A402" s="37"/>
    </row>
    <row r="403" spans="1:1" s="28" customFormat="1">
      <c r="A403" s="37"/>
    </row>
    <row r="404" spans="1:1" s="28" customFormat="1">
      <c r="A404" s="37"/>
    </row>
    <row r="405" spans="1:1" s="28" customFormat="1">
      <c r="A405" s="37"/>
    </row>
    <row r="406" spans="1:1" s="28" customFormat="1">
      <c r="A406" s="37"/>
    </row>
    <row r="407" spans="1:1" s="28" customFormat="1">
      <c r="A407" s="37"/>
    </row>
    <row r="408" spans="1:1" s="28" customFormat="1">
      <c r="A408" s="37"/>
    </row>
    <row r="409" spans="1:1" s="28" customFormat="1">
      <c r="A409" s="37"/>
    </row>
    <row r="410" spans="1:1" s="28" customFormat="1">
      <c r="A410" s="37"/>
    </row>
    <row r="411" spans="1:1" s="28" customFormat="1">
      <c r="A411" s="37"/>
    </row>
    <row r="412" spans="1:1" s="28" customFormat="1">
      <c r="A412" s="37"/>
    </row>
    <row r="413" spans="1:1" s="28" customFormat="1">
      <c r="A413" s="37"/>
    </row>
    <row r="414" spans="1:1" s="28" customFormat="1">
      <c r="A414" s="37"/>
    </row>
    <row r="415" spans="1:1" s="28" customFormat="1">
      <c r="A415" s="37"/>
    </row>
    <row r="416" spans="1:1" s="28" customFormat="1">
      <c r="A416" s="37"/>
    </row>
    <row r="417" spans="1:1" s="28" customFormat="1">
      <c r="A417" s="37"/>
    </row>
    <row r="418" spans="1:1" s="28" customFormat="1">
      <c r="A418" s="37"/>
    </row>
    <row r="419" spans="1:1" s="28" customFormat="1">
      <c r="A419" s="37"/>
    </row>
    <row r="420" spans="1:1" s="28" customFormat="1">
      <c r="A420" s="37"/>
    </row>
    <row r="421" spans="1:1" s="28" customFormat="1">
      <c r="A421" s="37"/>
    </row>
    <row r="422" spans="1:1" s="28" customFormat="1">
      <c r="A422" s="37"/>
    </row>
    <row r="423" spans="1:1" s="28" customFormat="1">
      <c r="A423" s="37"/>
    </row>
    <row r="424" spans="1:1" s="28" customFormat="1">
      <c r="A424" s="37"/>
    </row>
    <row r="425" spans="1:1" s="28" customFormat="1">
      <c r="A425" s="37"/>
    </row>
    <row r="426" spans="1:1" s="28" customFormat="1">
      <c r="A426" s="37"/>
    </row>
    <row r="427" spans="1:1" s="28" customFormat="1">
      <c r="A427" s="37"/>
    </row>
    <row r="428" spans="1:1" s="28" customFormat="1">
      <c r="A428" s="37"/>
    </row>
    <row r="429" spans="1:1" s="28" customFormat="1">
      <c r="A429" s="37"/>
    </row>
    <row r="430" spans="1:1" s="28" customFormat="1">
      <c r="A430" s="37"/>
    </row>
    <row r="431" spans="1:1" s="28" customFormat="1">
      <c r="A431" s="37"/>
    </row>
    <row r="432" spans="1:1" s="28" customFormat="1">
      <c r="A432" s="37"/>
    </row>
    <row r="433" spans="1:1" s="28" customFormat="1">
      <c r="A433" s="37"/>
    </row>
    <row r="434" spans="1:1" s="28" customFormat="1">
      <c r="A434" s="37"/>
    </row>
    <row r="435" spans="1:1" s="28" customFormat="1">
      <c r="A435" s="37"/>
    </row>
    <row r="436" spans="1:1" s="28" customFormat="1">
      <c r="A436" s="37"/>
    </row>
    <row r="437" spans="1:1" s="28" customFormat="1">
      <c r="A437" s="37"/>
    </row>
    <row r="438" spans="1:1" s="28" customFormat="1">
      <c r="A438" s="37"/>
    </row>
    <row r="439" spans="1:1" s="28" customFormat="1">
      <c r="A439" s="37"/>
    </row>
    <row r="440" spans="1:1" s="28" customFormat="1">
      <c r="A440" s="37"/>
    </row>
    <row r="441" spans="1:1" s="28" customFormat="1">
      <c r="A441" s="37"/>
    </row>
    <row r="442" spans="1:1" s="28" customFormat="1">
      <c r="A442" s="37"/>
    </row>
    <row r="443" spans="1:1" s="28" customFormat="1">
      <c r="A443" s="37"/>
    </row>
    <row r="444" spans="1:1" s="28" customFormat="1">
      <c r="A444" s="37"/>
    </row>
    <row r="445" spans="1:1" s="28" customFormat="1">
      <c r="A445" s="37"/>
    </row>
    <row r="446" spans="1:1" s="28" customFormat="1">
      <c r="A446" s="37"/>
    </row>
    <row r="447" spans="1:1" s="28" customFormat="1">
      <c r="A447" s="37"/>
    </row>
    <row r="448" spans="1:1" s="28" customFormat="1">
      <c r="A448" s="37"/>
    </row>
    <row r="449" spans="1:1" s="28" customFormat="1">
      <c r="A449" s="37"/>
    </row>
    <row r="450" spans="1:1" s="28" customFormat="1">
      <c r="A450" s="37"/>
    </row>
    <row r="451" spans="1:1" s="28" customFormat="1">
      <c r="A451" s="37"/>
    </row>
    <row r="452" spans="1:1" s="28" customFormat="1">
      <c r="A452" s="37"/>
    </row>
    <row r="453" spans="1:1" s="28" customFormat="1">
      <c r="A453" s="37"/>
    </row>
    <row r="454" spans="1:1" s="28" customFormat="1">
      <c r="A454" s="37"/>
    </row>
    <row r="455" spans="1:1" s="28" customFormat="1">
      <c r="A455" s="37"/>
    </row>
    <row r="456" spans="1:1" s="28" customFormat="1">
      <c r="A456" s="37"/>
    </row>
    <row r="457" spans="1:1" s="28" customFormat="1">
      <c r="A457" s="37"/>
    </row>
    <row r="458" spans="1:1" s="28" customFormat="1">
      <c r="A458" s="37"/>
    </row>
    <row r="459" spans="1:1" s="28" customFormat="1">
      <c r="A459" s="37"/>
    </row>
    <row r="460" spans="1:1" s="28" customFormat="1">
      <c r="A460" s="37"/>
    </row>
    <row r="461" spans="1:1" s="28" customFormat="1">
      <c r="A461" s="37"/>
    </row>
    <row r="462" spans="1:1" s="28" customFormat="1">
      <c r="A462" s="37"/>
    </row>
    <row r="463" spans="1:1" s="28" customFormat="1">
      <c r="A463" s="37"/>
    </row>
    <row r="464" spans="1:1" s="28" customFormat="1">
      <c r="A464" s="37"/>
    </row>
    <row r="465" spans="1:1" s="28" customFormat="1">
      <c r="A465" s="37"/>
    </row>
    <row r="466" spans="1:1" s="28" customFormat="1">
      <c r="A466" s="37"/>
    </row>
    <row r="467" spans="1:1" s="28" customFormat="1">
      <c r="A467" s="37"/>
    </row>
    <row r="468" spans="1:1" s="28" customFormat="1">
      <c r="A468" s="37"/>
    </row>
    <row r="469" spans="1:1" s="28" customFormat="1">
      <c r="A469" s="37"/>
    </row>
    <row r="470" spans="1:1" s="28" customFormat="1">
      <c r="A470" s="37"/>
    </row>
    <row r="471" spans="1:1" s="28" customFormat="1">
      <c r="A471" s="37"/>
    </row>
    <row r="472" spans="1:1" s="28" customFormat="1">
      <c r="A472" s="37"/>
    </row>
    <row r="473" spans="1:1" s="28" customFormat="1">
      <c r="A473" s="37"/>
    </row>
    <row r="474" spans="1:1" s="28" customFormat="1">
      <c r="A474" s="37"/>
    </row>
    <row r="475" spans="1:1" s="28" customFormat="1">
      <c r="A475" s="37"/>
    </row>
    <row r="476" spans="1:1" s="28" customFormat="1">
      <c r="A476" s="37"/>
    </row>
    <row r="477" spans="1:1" s="28" customFormat="1">
      <c r="A477" s="37"/>
    </row>
    <row r="478" spans="1:1" s="28" customFormat="1">
      <c r="A478" s="37"/>
    </row>
    <row r="479" spans="1:1" s="28" customFormat="1">
      <c r="A479" s="37"/>
    </row>
    <row r="480" spans="1:1" s="28" customFormat="1">
      <c r="A480" s="37"/>
    </row>
    <row r="481" spans="1:1" s="28" customFormat="1">
      <c r="A481" s="37"/>
    </row>
    <row r="482" spans="1:1" s="28" customFormat="1">
      <c r="A482" s="37"/>
    </row>
    <row r="483" spans="1:1" s="28" customFormat="1">
      <c r="A483" s="37"/>
    </row>
    <row r="484" spans="1:1" s="28" customFormat="1">
      <c r="A484" s="37"/>
    </row>
    <row r="485" spans="1:1" s="28" customFormat="1">
      <c r="A485" s="37"/>
    </row>
    <row r="486" spans="1:1" s="28" customFormat="1">
      <c r="A486" s="37"/>
    </row>
    <row r="487" spans="1:1" s="28" customFormat="1">
      <c r="A487" s="37"/>
    </row>
    <row r="488" spans="1:1" s="28" customFormat="1">
      <c r="A488" s="37"/>
    </row>
    <row r="489" spans="1:1" s="28" customFormat="1">
      <c r="A489" s="37"/>
    </row>
    <row r="490" spans="1:1" s="28" customFormat="1">
      <c r="A490" s="37"/>
    </row>
    <row r="491" spans="1:1" s="28" customFormat="1">
      <c r="A491" s="37"/>
    </row>
    <row r="492" spans="1:1" s="28" customFormat="1">
      <c r="A492" s="37"/>
    </row>
    <row r="493" spans="1:1" s="28" customFormat="1">
      <c r="A493" s="37"/>
    </row>
    <row r="494" spans="1:1" s="28" customFormat="1">
      <c r="A494" s="37"/>
    </row>
    <row r="495" spans="1:1" s="28" customFormat="1">
      <c r="A495" s="37"/>
    </row>
    <row r="496" spans="1:1" s="28" customFormat="1">
      <c r="A496" s="37"/>
    </row>
    <row r="497" spans="1:1" s="28" customFormat="1">
      <c r="A497" s="37"/>
    </row>
    <row r="498" spans="1:1" s="28" customFormat="1">
      <c r="A498" s="37"/>
    </row>
    <row r="499" spans="1:1" s="28" customFormat="1">
      <c r="A499" s="37"/>
    </row>
    <row r="500" spans="1:1" s="28" customFormat="1">
      <c r="A500" s="37"/>
    </row>
    <row r="501" spans="1:1" s="28" customFormat="1">
      <c r="A501" s="37"/>
    </row>
    <row r="502" spans="1:1" s="28" customFormat="1">
      <c r="A502" s="37"/>
    </row>
    <row r="503" spans="1:1" s="28" customFormat="1">
      <c r="A503" s="37"/>
    </row>
    <row r="504" spans="1:1" s="28" customFormat="1">
      <c r="A504" s="37"/>
    </row>
    <row r="505" spans="1:1" s="28" customFormat="1">
      <c r="A505" s="37"/>
    </row>
    <row r="506" spans="1:1" s="28" customFormat="1">
      <c r="A506" s="37"/>
    </row>
    <row r="507" spans="1:1" s="28" customFormat="1">
      <c r="A507" s="37"/>
    </row>
    <row r="508" spans="1:1" s="28" customFormat="1">
      <c r="A508" s="37"/>
    </row>
    <row r="509" spans="1:1" s="28" customFormat="1">
      <c r="A509" s="37"/>
    </row>
    <row r="510" spans="1:1" s="28" customFormat="1">
      <c r="A510" s="37"/>
    </row>
    <row r="511" spans="1:1" s="28" customFormat="1">
      <c r="A511" s="37"/>
    </row>
    <row r="512" spans="1:1" s="28" customFormat="1">
      <c r="A512" s="37"/>
    </row>
    <row r="513" spans="1:1" s="28" customFormat="1">
      <c r="A513" s="37"/>
    </row>
    <row r="514" spans="1:1" s="28" customFormat="1">
      <c r="A514" s="37"/>
    </row>
    <row r="515" spans="1:1" s="28" customFormat="1">
      <c r="A515" s="37"/>
    </row>
    <row r="516" spans="1:1" s="28" customFormat="1">
      <c r="A516" s="37"/>
    </row>
    <row r="517" spans="1:1" s="28" customFormat="1">
      <c r="A517" s="37"/>
    </row>
    <row r="518" spans="1:1" s="28" customFormat="1">
      <c r="A518" s="37"/>
    </row>
    <row r="519" spans="1:1" s="28" customFormat="1">
      <c r="A519" s="37"/>
    </row>
    <row r="520" spans="1:1" s="28" customFormat="1">
      <c r="A520" s="37"/>
    </row>
    <row r="521" spans="1:1" s="28" customFormat="1">
      <c r="A521" s="37"/>
    </row>
    <row r="522" spans="1:1" s="28" customFormat="1">
      <c r="A522" s="37"/>
    </row>
    <row r="523" spans="1:1" s="28" customFormat="1">
      <c r="A523" s="37"/>
    </row>
    <row r="524" spans="1:1" s="28" customFormat="1">
      <c r="A524" s="37"/>
    </row>
    <row r="525" spans="1:1" s="28" customFormat="1">
      <c r="A525" s="37"/>
    </row>
    <row r="526" spans="1:1" s="28" customFormat="1">
      <c r="A526" s="37"/>
    </row>
    <row r="527" spans="1:1" s="28" customFormat="1">
      <c r="A527" s="37"/>
    </row>
    <row r="528" spans="1:1" s="28" customFormat="1">
      <c r="A528" s="37"/>
    </row>
    <row r="529" spans="1:1" s="28" customFormat="1">
      <c r="A529" s="37"/>
    </row>
    <row r="530" spans="1:1" s="28" customFormat="1">
      <c r="A530" s="37"/>
    </row>
    <row r="531" spans="1:1" s="28" customFormat="1">
      <c r="A531" s="37"/>
    </row>
    <row r="532" spans="1:1" s="28" customFormat="1">
      <c r="A532" s="37"/>
    </row>
    <row r="533" spans="1:1" s="28" customFormat="1">
      <c r="A533" s="37"/>
    </row>
    <row r="534" spans="1:1" s="28" customFormat="1">
      <c r="A534" s="37"/>
    </row>
    <row r="535" spans="1:1" s="28" customFormat="1">
      <c r="A535" s="37"/>
    </row>
    <row r="536" spans="1:1" s="28" customFormat="1">
      <c r="A536" s="37"/>
    </row>
    <row r="537" spans="1:1" s="28" customFormat="1">
      <c r="A537" s="37"/>
    </row>
    <row r="538" spans="1:1" s="28" customFormat="1">
      <c r="A538" s="37"/>
    </row>
    <row r="539" spans="1:1" s="28" customFormat="1">
      <c r="A539" s="37"/>
    </row>
    <row r="540" spans="1:1" s="28" customFormat="1">
      <c r="A540" s="37"/>
    </row>
    <row r="541" spans="1:1" s="28" customFormat="1">
      <c r="A541" s="37"/>
    </row>
    <row r="542" spans="1:1" s="28" customFormat="1">
      <c r="A542" s="37"/>
    </row>
    <row r="543" spans="1:1" s="28" customFormat="1">
      <c r="A543" s="37"/>
    </row>
    <row r="544" spans="1:1" s="28" customFormat="1">
      <c r="A544" s="37"/>
    </row>
    <row r="545" spans="1:1" s="28" customFormat="1">
      <c r="A545" s="37"/>
    </row>
    <row r="546" spans="1:1" s="28" customFormat="1">
      <c r="A546" s="37"/>
    </row>
    <row r="547" spans="1:1" s="28" customFormat="1">
      <c r="A547" s="37"/>
    </row>
    <row r="548" spans="1:1" s="28" customFormat="1">
      <c r="A548" s="37"/>
    </row>
    <row r="549" spans="1:1" s="28" customFormat="1">
      <c r="A549" s="37"/>
    </row>
    <row r="550" spans="1:1" s="28" customFormat="1">
      <c r="A550" s="37"/>
    </row>
    <row r="551" spans="1:1" s="28" customFormat="1">
      <c r="A551" s="37"/>
    </row>
    <row r="552" spans="1:1" s="28" customFormat="1">
      <c r="A552" s="37"/>
    </row>
    <row r="553" spans="1:1" s="28" customFormat="1">
      <c r="A553" s="37"/>
    </row>
    <row r="554" spans="1:1" s="28" customFormat="1">
      <c r="A554" s="37"/>
    </row>
    <row r="555" spans="1:1" s="28" customFormat="1">
      <c r="A555" s="37"/>
    </row>
    <row r="556" spans="1:1" s="28" customFormat="1">
      <c r="A556" s="37"/>
    </row>
    <row r="557" spans="1:1" s="28" customFormat="1">
      <c r="A557" s="37"/>
    </row>
    <row r="558" spans="1:1" s="28" customFormat="1">
      <c r="A558" s="37"/>
    </row>
    <row r="559" spans="1:1" s="28" customFormat="1">
      <c r="A559" s="37"/>
    </row>
    <row r="560" spans="1:1" s="28" customFormat="1">
      <c r="A560" s="37"/>
    </row>
    <row r="561" spans="1:1" s="28" customFormat="1">
      <c r="A561" s="37"/>
    </row>
    <row r="562" spans="1:1" s="28" customFormat="1">
      <c r="A562" s="37"/>
    </row>
    <row r="563" spans="1:1" s="28" customFormat="1">
      <c r="A563" s="37"/>
    </row>
    <row r="564" spans="1:1" s="28" customFormat="1">
      <c r="A564" s="37"/>
    </row>
    <row r="565" spans="1:1" s="28" customFormat="1">
      <c r="A565" s="37"/>
    </row>
    <row r="566" spans="1:1" s="28" customFormat="1">
      <c r="A566" s="37"/>
    </row>
    <row r="567" spans="1:1" s="28" customFormat="1">
      <c r="A567" s="37"/>
    </row>
    <row r="568" spans="1:1" s="28" customFormat="1">
      <c r="A568" s="37"/>
    </row>
    <row r="569" spans="1:1" s="28" customFormat="1">
      <c r="A569" s="37"/>
    </row>
    <row r="570" spans="1:1" s="28" customFormat="1">
      <c r="A570" s="37"/>
    </row>
    <row r="571" spans="1:1" s="28" customFormat="1">
      <c r="A571" s="37"/>
    </row>
    <row r="572" spans="1:1" s="28" customFormat="1">
      <c r="A572" s="37"/>
    </row>
    <row r="573" spans="1:1" s="28" customFormat="1">
      <c r="A573" s="37"/>
    </row>
    <row r="574" spans="1:1" s="28" customFormat="1">
      <c r="A574" s="37"/>
    </row>
    <row r="575" spans="1:1" s="28" customFormat="1">
      <c r="A575" s="37"/>
    </row>
    <row r="576" spans="1:1" s="28" customFormat="1">
      <c r="A576" s="37"/>
    </row>
    <row r="577" spans="1:1" s="28" customFormat="1">
      <c r="A577" s="37"/>
    </row>
    <row r="578" spans="1:1" s="28" customFormat="1">
      <c r="A578" s="37"/>
    </row>
    <row r="579" spans="1:1" s="28" customFormat="1">
      <c r="A579" s="37"/>
    </row>
    <row r="580" spans="1:1" s="28" customFormat="1">
      <c r="A580" s="37"/>
    </row>
    <row r="581" spans="1:1" s="28" customFormat="1">
      <c r="A581" s="37"/>
    </row>
    <row r="582" spans="1:1" s="28" customFormat="1">
      <c r="A582" s="37"/>
    </row>
    <row r="583" spans="1:1" s="28" customFormat="1">
      <c r="A583" s="37"/>
    </row>
    <row r="584" spans="1:1" s="28" customFormat="1">
      <c r="A584" s="37"/>
    </row>
    <row r="585" spans="1:1" s="28" customFormat="1">
      <c r="A585" s="37"/>
    </row>
    <row r="586" spans="1:1" s="28" customFormat="1">
      <c r="A586" s="37"/>
    </row>
    <row r="587" spans="1:1" s="28" customFormat="1">
      <c r="A587" s="37"/>
    </row>
    <row r="588" spans="1:1" s="28" customFormat="1">
      <c r="A588" s="37"/>
    </row>
    <row r="589" spans="1:1" s="28" customFormat="1">
      <c r="A589" s="37"/>
    </row>
    <row r="590" spans="1:1" s="28" customFormat="1">
      <c r="A590" s="37"/>
    </row>
    <row r="591" spans="1:1" s="28" customFormat="1">
      <c r="A591" s="37"/>
    </row>
    <row r="592" spans="1:1" s="28" customFormat="1">
      <c r="A592" s="37"/>
    </row>
    <row r="593" spans="1:1" s="28" customFormat="1">
      <c r="A593" s="37"/>
    </row>
    <row r="594" spans="1:1" s="28" customFormat="1">
      <c r="A594" s="37"/>
    </row>
    <row r="595" spans="1:1" s="28" customFormat="1">
      <c r="A595" s="37"/>
    </row>
    <row r="596" spans="1:1" s="28" customFormat="1">
      <c r="A596" s="37"/>
    </row>
    <row r="597" spans="1:1" s="28" customFormat="1">
      <c r="A597" s="37"/>
    </row>
    <row r="598" spans="1:1" s="28" customFormat="1">
      <c r="A598" s="37"/>
    </row>
    <row r="599" spans="1:1" s="28" customFormat="1">
      <c r="A599" s="37"/>
    </row>
    <row r="600" spans="1:1" s="28" customFormat="1">
      <c r="A600" s="37"/>
    </row>
    <row r="601" spans="1:1" s="28" customFormat="1">
      <c r="A601" s="37"/>
    </row>
    <row r="602" spans="1:1" s="28" customFormat="1">
      <c r="A602" s="37"/>
    </row>
    <row r="603" spans="1:1" s="28" customFormat="1">
      <c r="A603" s="37"/>
    </row>
    <row r="604" spans="1:1" s="28" customFormat="1">
      <c r="A604" s="37"/>
    </row>
    <row r="605" spans="1:1" s="28" customFormat="1">
      <c r="A605" s="37"/>
    </row>
    <row r="606" spans="1:1" s="28" customFormat="1">
      <c r="A606" s="37"/>
    </row>
    <row r="607" spans="1:1" s="28" customFormat="1">
      <c r="A607" s="37"/>
    </row>
    <row r="608" spans="1:1" s="28" customFormat="1">
      <c r="A608" s="37"/>
    </row>
    <row r="609" spans="1:1" s="28" customFormat="1">
      <c r="A609" s="37"/>
    </row>
    <row r="610" spans="1:1" s="28" customFormat="1">
      <c r="A610" s="37"/>
    </row>
    <row r="611" spans="1:1" s="28" customFormat="1">
      <c r="A611" s="37"/>
    </row>
    <row r="612" spans="1:1" s="28" customFormat="1">
      <c r="A612" s="37"/>
    </row>
    <row r="613" spans="1:1" s="28" customFormat="1">
      <c r="A613" s="37"/>
    </row>
    <row r="614" spans="1:1" s="28" customFormat="1">
      <c r="A614" s="37"/>
    </row>
    <row r="615" spans="1:1" s="28" customFormat="1">
      <c r="A615" s="37"/>
    </row>
    <row r="616" spans="1:1" s="28" customFormat="1">
      <c r="A616" s="37"/>
    </row>
    <row r="617" spans="1:1" s="28" customFormat="1">
      <c r="A617" s="37"/>
    </row>
    <row r="618" spans="1:1" s="28" customFormat="1">
      <c r="A618" s="37"/>
    </row>
    <row r="619" spans="1:1" s="28" customFormat="1">
      <c r="A619" s="37"/>
    </row>
    <row r="620" spans="1:1" s="28" customFormat="1">
      <c r="A620" s="37"/>
    </row>
    <row r="621" spans="1:1" s="28" customFormat="1">
      <c r="A621" s="37"/>
    </row>
    <row r="622" spans="1:1" s="28" customFormat="1">
      <c r="A622" s="37"/>
    </row>
    <row r="623" spans="1:1" s="28" customFormat="1">
      <c r="A623" s="37"/>
    </row>
    <row r="624" spans="1:1" s="28" customFormat="1">
      <c r="A624" s="37"/>
    </row>
    <row r="625" spans="1:1" s="28" customFormat="1">
      <c r="A625" s="37"/>
    </row>
    <row r="626" spans="1:1" s="28" customFormat="1">
      <c r="A626" s="37"/>
    </row>
    <row r="627" spans="1:1" s="28" customFormat="1">
      <c r="A627" s="37"/>
    </row>
    <row r="628" spans="1:1" s="28" customFormat="1">
      <c r="A628" s="37"/>
    </row>
    <row r="629" spans="1:1" s="28" customFormat="1">
      <c r="A629" s="37"/>
    </row>
    <row r="630" spans="1:1" s="28" customFormat="1">
      <c r="A630" s="37"/>
    </row>
    <row r="631" spans="1:1" s="28" customFormat="1">
      <c r="A631" s="37"/>
    </row>
    <row r="632" spans="1:1" s="28" customFormat="1">
      <c r="A632" s="37"/>
    </row>
    <row r="633" spans="1:1" s="28" customFormat="1">
      <c r="A633" s="37"/>
    </row>
    <row r="634" spans="1:1" s="28" customFormat="1">
      <c r="A634" s="37"/>
    </row>
    <row r="635" spans="1:1" s="28" customFormat="1">
      <c r="A635" s="37"/>
    </row>
    <row r="636" spans="1:1" s="28" customFormat="1">
      <c r="A636" s="37"/>
    </row>
    <row r="637" spans="1:1" s="28" customFormat="1">
      <c r="A637" s="37"/>
    </row>
    <row r="638" spans="1:1" s="28" customFormat="1">
      <c r="A638" s="37"/>
    </row>
    <row r="639" spans="1:1" s="28" customFormat="1">
      <c r="A639" s="37"/>
    </row>
    <row r="640" spans="1:1" s="28" customFormat="1">
      <c r="A640" s="37"/>
    </row>
    <row r="641" spans="1:1" s="28" customFormat="1">
      <c r="A641" s="37"/>
    </row>
    <row r="642" spans="1:1" s="28" customFormat="1">
      <c r="A642" s="37"/>
    </row>
    <row r="643" spans="1:1" s="28" customFormat="1">
      <c r="A643" s="37"/>
    </row>
    <row r="644" spans="1:1" s="28" customFormat="1">
      <c r="A644" s="37"/>
    </row>
    <row r="645" spans="1:1" s="28" customFormat="1">
      <c r="A645" s="37"/>
    </row>
    <row r="646" spans="1:1" s="28" customFormat="1">
      <c r="A646" s="37"/>
    </row>
    <row r="647" spans="1:1" s="28" customFormat="1">
      <c r="A647" s="37"/>
    </row>
    <row r="648" spans="1:1" s="28" customFormat="1">
      <c r="A648" s="37"/>
    </row>
    <row r="649" spans="1:1" s="28" customFormat="1">
      <c r="A649" s="37"/>
    </row>
    <row r="650" spans="1:1" s="28" customFormat="1">
      <c r="A650" s="37"/>
    </row>
    <row r="651" spans="1:1" s="28" customFormat="1">
      <c r="A651" s="37"/>
    </row>
    <row r="652" spans="1:1" s="28" customFormat="1">
      <c r="A652" s="37"/>
    </row>
    <row r="653" spans="1:1" s="28" customFormat="1">
      <c r="A653" s="37"/>
    </row>
    <row r="654" spans="1:1" s="28" customFormat="1">
      <c r="A654" s="37"/>
    </row>
    <row r="655" spans="1:1" s="28" customFormat="1">
      <c r="A655" s="37"/>
    </row>
    <row r="656" spans="1:1" s="28" customFormat="1">
      <c r="A656" s="37"/>
    </row>
    <row r="657" spans="1:1" s="28" customFormat="1">
      <c r="A657" s="37"/>
    </row>
    <row r="658" spans="1:1" s="28" customFormat="1">
      <c r="A658" s="37"/>
    </row>
    <row r="659" spans="1:1" s="28" customFormat="1">
      <c r="A659" s="37"/>
    </row>
    <row r="660" spans="1:1" s="28" customFormat="1">
      <c r="A660" s="37"/>
    </row>
    <row r="661" spans="1:1" s="28" customFormat="1">
      <c r="A661" s="37"/>
    </row>
    <row r="662" spans="1:1" s="28" customFormat="1">
      <c r="A662" s="37"/>
    </row>
    <row r="663" spans="1:1" s="28" customFormat="1">
      <c r="A663" s="37"/>
    </row>
    <row r="664" spans="1:1" s="28" customFormat="1">
      <c r="A664" s="37"/>
    </row>
    <row r="665" spans="1:1" s="28" customFormat="1">
      <c r="A665" s="37"/>
    </row>
    <row r="666" spans="1:1" s="28" customFormat="1">
      <c r="A666" s="37"/>
    </row>
    <row r="667" spans="1:1" s="28" customFormat="1">
      <c r="A667" s="37"/>
    </row>
    <row r="668" spans="1:1" s="28" customFormat="1">
      <c r="A668" s="37"/>
    </row>
    <row r="669" spans="1:1" s="28" customFormat="1">
      <c r="A669" s="37"/>
    </row>
    <row r="670" spans="1:1" s="28" customFormat="1">
      <c r="A670" s="37"/>
    </row>
    <row r="671" spans="1:1" s="28" customFormat="1">
      <c r="A671" s="37"/>
    </row>
    <row r="672" spans="1:1" s="28" customFormat="1">
      <c r="A672" s="37"/>
    </row>
    <row r="673" spans="1:1" s="28" customFormat="1">
      <c r="A673" s="37"/>
    </row>
    <row r="674" spans="1:1" s="28" customFormat="1">
      <c r="A674" s="37"/>
    </row>
    <row r="675" spans="1:1" s="28" customFormat="1">
      <c r="A675" s="37"/>
    </row>
    <row r="676" spans="1:1" s="28" customFormat="1">
      <c r="A676" s="37"/>
    </row>
    <row r="677" spans="1:1" s="28" customFormat="1">
      <c r="A677" s="37"/>
    </row>
    <row r="678" spans="1:1" s="28" customFormat="1">
      <c r="A678" s="37"/>
    </row>
    <row r="679" spans="1:1" s="28" customFormat="1">
      <c r="A679" s="37"/>
    </row>
    <row r="680" spans="1:1" s="28" customFormat="1">
      <c r="A680" s="37"/>
    </row>
    <row r="681" spans="1:1" s="28" customFormat="1">
      <c r="A681" s="37"/>
    </row>
    <row r="682" spans="1:1" s="28" customFormat="1">
      <c r="A682" s="37"/>
    </row>
    <row r="683" spans="1:1" s="28" customFormat="1">
      <c r="A683" s="37"/>
    </row>
    <row r="684" spans="1:1" s="28" customFormat="1">
      <c r="A684" s="37"/>
    </row>
    <row r="685" spans="1:1" s="28" customFormat="1">
      <c r="A685" s="37"/>
    </row>
    <row r="686" spans="1:1" s="28" customFormat="1">
      <c r="A686" s="37"/>
    </row>
    <row r="687" spans="1:1" s="28" customFormat="1">
      <c r="A687" s="37"/>
    </row>
    <row r="688" spans="1:1" s="28" customFormat="1">
      <c r="A688" s="37"/>
    </row>
    <row r="689" spans="1:1" s="28" customFormat="1">
      <c r="A689" s="37"/>
    </row>
    <row r="690" spans="1:1" s="28" customFormat="1">
      <c r="A690" s="37"/>
    </row>
    <row r="691" spans="1:1" s="28" customFormat="1">
      <c r="A691" s="37"/>
    </row>
    <row r="692" spans="1:1" s="28" customFormat="1">
      <c r="A692" s="37"/>
    </row>
    <row r="693" spans="1:1" s="28" customFormat="1">
      <c r="A693" s="37"/>
    </row>
    <row r="694" spans="1:1" s="28" customFormat="1">
      <c r="A694" s="37"/>
    </row>
    <row r="695" spans="1:1" s="28" customFormat="1">
      <c r="A695" s="37"/>
    </row>
    <row r="696" spans="1:1" s="28" customFormat="1">
      <c r="A696" s="37"/>
    </row>
    <row r="697" spans="1:1" s="28" customFormat="1">
      <c r="A697" s="37"/>
    </row>
    <row r="698" spans="1:1" s="28" customFormat="1">
      <c r="A698" s="37"/>
    </row>
    <row r="699" spans="1:1" s="28" customFormat="1">
      <c r="A699" s="37"/>
    </row>
    <row r="700" spans="1:1" s="28" customFormat="1">
      <c r="A700" s="37"/>
    </row>
    <row r="701" spans="1:1" s="28" customFormat="1">
      <c r="A701" s="37"/>
    </row>
    <row r="702" spans="1:1" s="28" customFormat="1">
      <c r="A702" s="37"/>
    </row>
    <row r="703" spans="1:1" s="28" customFormat="1">
      <c r="A703" s="37"/>
    </row>
    <row r="704" spans="1:1" s="28" customFormat="1">
      <c r="A704" s="37"/>
    </row>
    <row r="705" spans="1:1" s="28" customFormat="1">
      <c r="A705" s="37"/>
    </row>
    <row r="706" spans="1:1" s="28" customFormat="1">
      <c r="A706" s="37"/>
    </row>
    <row r="707" spans="1:1" s="28" customFormat="1">
      <c r="A707" s="37"/>
    </row>
    <row r="708" spans="1:1" s="28" customFormat="1">
      <c r="A708" s="37"/>
    </row>
    <row r="709" spans="1:1" s="28" customFormat="1">
      <c r="A709" s="37"/>
    </row>
    <row r="710" spans="1:1" s="28" customFormat="1">
      <c r="A710" s="37"/>
    </row>
    <row r="711" spans="1:1" s="28" customFormat="1">
      <c r="A711" s="37"/>
    </row>
    <row r="712" spans="1:1" s="28" customFormat="1">
      <c r="A712" s="37"/>
    </row>
    <row r="713" spans="1:1" s="28" customFormat="1">
      <c r="A713" s="37"/>
    </row>
    <row r="714" spans="1:1" s="28" customFormat="1">
      <c r="A714" s="37"/>
    </row>
    <row r="715" spans="1:1" s="28" customFormat="1">
      <c r="A715" s="37"/>
    </row>
    <row r="716" spans="1:1" s="28" customFormat="1">
      <c r="A716" s="37"/>
    </row>
    <row r="717" spans="1:1" s="28" customFormat="1">
      <c r="A717" s="37"/>
    </row>
    <row r="718" spans="1:1" s="28" customFormat="1">
      <c r="A718" s="37"/>
    </row>
    <row r="719" spans="1:1" s="28" customFormat="1">
      <c r="A719" s="37"/>
    </row>
    <row r="720" spans="1:1" s="28" customFormat="1">
      <c r="A720" s="37"/>
    </row>
    <row r="721" spans="1:1" s="28" customFormat="1">
      <c r="A721" s="37"/>
    </row>
    <row r="722" spans="1:1" s="28" customFormat="1">
      <c r="A722" s="37"/>
    </row>
    <row r="723" spans="1:1" s="28" customFormat="1">
      <c r="A723" s="37"/>
    </row>
    <row r="724" spans="1:1" s="28" customFormat="1">
      <c r="A724" s="37"/>
    </row>
    <row r="725" spans="1:1" s="28" customFormat="1">
      <c r="A725" s="37"/>
    </row>
    <row r="726" spans="1:1" s="28" customFormat="1">
      <c r="A726" s="37"/>
    </row>
    <row r="727" spans="1:1" s="28" customFormat="1">
      <c r="A727" s="37"/>
    </row>
    <row r="728" spans="1:1" s="28" customFormat="1">
      <c r="A728" s="37"/>
    </row>
    <row r="729" spans="1:1" s="28" customFormat="1">
      <c r="A729" s="37"/>
    </row>
    <row r="730" spans="1:1" s="28" customFormat="1">
      <c r="A730" s="37"/>
    </row>
    <row r="731" spans="1:1" s="28" customFormat="1">
      <c r="A731" s="37"/>
    </row>
    <row r="732" spans="1:1" s="28" customFormat="1">
      <c r="A732" s="37"/>
    </row>
    <row r="733" spans="1:1" s="28" customFormat="1">
      <c r="A733" s="37"/>
    </row>
    <row r="734" spans="1:1" s="28" customFormat="1">
      <c r="A734" s="37"/>
    </row>
    <row r="735" spans="1:1" s="28" customFormat="1">
      <c r="A735" s="37"/>
    </row>
    <row r="736" spans="1:1" s="28" customFormat="1">
      <c r="A736" s="37"/>
    </row>
    <row r="737" spans="1:1" s="28" customFormat="1">
      <c r="A737" s="37"/>
    </row>
    <row r="738" spans="1:1" s="28" customFormat="1">
      <c r="A738" s="37"/>
    </row>
    <row r="739" spans="1:1" s="28" customFormat="1">
      <c r="A739" s="37"/>
    </row>
    <row r="740" spans="1:1" s="28" customFormat="1">
      <c r="A740" s="37"/>
    </row>
    <row r="741" spans="1:1" s="28" customFormat="1">
      <c r="A741" s="37"/>
    </row>
    <row r="742" spans="1:1" s="28" customFormat="1">
      <c r="A742" s="37"/>
    </row>
    <row r="743" spans="1:1" s="28" customFormat="1">
      <c r="A743" s="37"/>
    </row>
    <row r="744" spans="1:1" s="28" customFormat="1">
      <c r="A744" s="37"/>
    </row>
    <row r="745" spans="1:1" s="28" customFormat="1">
      <c r="A745" s="37"/>
    </row>
    <row r="746" spans="1:1" s="28" customFormat="1">
      <c r="A746" s="37"/>
    </row>
    <row r="747" spans="1:1" s="28" customFormat="1">
      <c r="A747" s="37"/>
    </row>
    <row r="748" spans="1:1" s="28" customFormat="1">
      <c r="A748" s="37"/>
    </row>
    <row r="749" spans="1:1" s="28" customFormat="1">
      <c r="A749" s="37"/>
    </row>
    <row r="750" spans="1:1" s="28" customFormat="1">
      <c r="A750" s="37"/>
    </row>
    <row r="751" spans="1:1" s="28" customFormat="1">
      <c r="A751" s="37"/>
    </row>
    <row r="752" spans="1:1" s="28" customFormat="1">
      <c r="A752" s="37"/>
    </row>
    <row r="753" spans="1:1" s="28" customFormat="1">
      <c r="A753" s="37"/>
    </row>
    <row r="754" spans="1:1" s="28" customFormat="1">
      <c r="A754" s="37"/>
    </row>
    <row r="755" spans="1:1" s="28" customFormat="1">
      <c r="A755" s="37"/>
    </row>
    <row r="756" spans="1:1" s="28" customFormat="1">
      <c r="A756" s="37"/>
    </row>
    <row r="757" spans="1:1" s="28" customFormat="1">
      <c r="A757" s="37"/>
    </row>
    <row r="758" spans="1:1" s="28" customFormat="1">
      <c r="A758" s="37"/>
    </row>
    <row r="759" spans="1:1" s="28" customFormat="1">
      <c r="A759" s="37"/>
    </row>
    <row r="760" spans="1:1" s="28" customFormat="1">
      <c r="A760" s="37"/>
    </row>
    <row r="761" spans="1:1" s="28" customFormat="1">
      <c r="A761" s="37"/>
    </row>
    <row r="762" spans="1:1" s="28" customFormat="1">
      <c r="A762" s="37"/>
    </row>
    <row r="763" spans="1:1" s="28" customFormat="1">
      <c r="A763" s="37"/>
    </row>
    <row r="764" spans="1:1" s="28" customFormat="1">
      <c r="A764" s="37"/>
    </row>
    <row r="765" spans="1:1" s="28" customFormat="1">
      <c r="A765" s="37"/>
    </row>
    <row r="766" spans="1:1" s="28" customFormat="1">
      <c r="A766" s="37"/>
    </row>
    <row r="767" spans="1:1" s="28" customFormat="1">
      <c r="A767" s="37"/>
    </row>
    <row r="768" spans="1:1" s="28" customFormat="1">
      <c r="A768" s="37"/>
    </row>
    <row r="769" spans="1:1" s="28" customFormat="1">
      <c r="A769" s="37"/>
    </row>
    <row r="770" spans="1:1" s="28" customFormat="1">
      <c r="A770" s="37"/>
    </row>
    <row r="771" spans="1:1" s="28" customFormat="1">
      <c r="A771" s="37"/>
    </row>
    <row r="772" spans="1:1" s="28" customFormat="1">
      <c r="A772" s="37"/>
    </row>
    <row r="773" spans="1:1" s="28" customFormat="1">
      <c r="A773" s="37"/>
    </row>
    <row r="774" spans="1:1" s="28" customFormat="1">
      <c r="A774" s="37"/>
    </row>
    <row r="775" spans="1:1" s="28" customFormat="1">
      <c r="A775" s="37"/>
    </row>
    <row r="776" spans="1:1" s="28" customFormat="1">
      <c r="A776" s="37"/>
    </row>
    <row r="777" spans="1:1" s="28" customFormat="1">
      <c r="A777" s="37"/>
    </row>
    <row r="778" spans="1:1" s="28" customFormat="1">
      <c r="A778" s="37"/>
    </row>
    <row r="779" spans="1:1" s="28" customFormat="1">
      <c r="A779" s="37"/>
    </row>
    <row r="780" spans="1:1" s="28" customFormat="1">
      <c r="A780" s="37"/>
    </row>
    <row r="781" spans="1:1" s="28" customFormat="1">
      <c r="A781" s="37"/>
    </row>
    <row r="782" spans="1:1" s="28" customFormat="1">
      <c r="A782" s="37"/>
    </row>
    <row r="783" spans="1:1" s="28" customFormat="1">
      <c r="A783" s="37"/>
    </row>
    <row r="784" spans="1:1" s="28" customFormat="1">
      <c r="A784" s="37"/>
    </row>
    <row r="785" spans="1:1" s="28" customFormat="1">
      <c r="A785" s="37"/>
    </row>
    <row r="786" spans="1:1" s="28" customFormat="1">
      <c r="A786" s="37"/>
    </row>
    <row r="787" spans="1:1" s="28" customFormat="1">
      <c r="A787" s="37"/>
    </row>
    <row r="788" spans="1:1" s="28" customFormat="1">
      <c r="A788" s="37"/>
    </row>
    <row r="789" spans="1:1" s="28" customFormat="1">
      <c r="A789" s="37"/>
    </row>
    <row r="790" spans="1:1" s="28" customFormat="1">
      <c r="A790" s="37"/>
    </row>
    <row r="791" spans="1:1" s="28" customFormat="1">
      <c r="A791" s="37"/>
    </row>
    <row r="792" spans="1:1" s="28" customFormat="1">
      <c r="A792" s="37"/>
    </row>
    <row r="793" spans="1:1" s="28" customFormat="1">
      <c r="A793" s="37"/>
    </row>
    <row r="794" spans="1:1" s="28" customFormat="1">
      <c r="A794" s="37"/>
    </row>
    <row r="795" spans="1:1" s="28" customFormat="1">
      <c r="A795" s="37"/>
    </row>
    <row r="796" spans="1:1" s="28" customFormat="1">
      <c r="A796" s="37"/>
    </row>
    <row r="797" spans="1:1" s="28" customFormat="1">
      <c r="A797" s="37"/>
    </row>
    <row r="798" spans="1:1" s="28" customFormat="1">
      <c r="A798" s="37"/>
    </row>
    <row r="799" spans="1:1" s="28" customFormat="1">
      <c r="A799" s="37"/>
    </row>
    <row r="800" spans="1:1" s="28" customFormat="1">
      <c r="A800" s="37"/>
    </row>
    <row r="801" spans="1:1" s="28" customFormat="1">
      <c r="A801" s="37"/>
    </row>
    <row r="802" spans="1:1" s="28" customFormat="1">
      <c r="A802" s="37"/>
    </row>
    <row r="803" spans="1:1" s="28" customFormat="1">
      <c r="A803" s="37"/>
    </row>
    <row r="804" spans="1:1" s="28" customFormat="1">
      <c r="A804" s="37"/>
    </row>
    <row r="805" spans="1:1" s="28" customFormat="1">
      <c r="A805" s="37"/>
    </row>
    <row r="806" spans="1:1" s="28" customFormat="1">
      <c r="A806" s="37"/>
    </row>
    <row r="807" spans="1:1" s="28" customFormat="1">
      <c r="A807" s="37"/>
    </row>
    <row r="808" spans="1:1" s="28" customFormat="1">
      <c r="A808" s="37"/>
    </row>
    <row r="809" spans="1:1" s="28" customFormat="1">
      <c r="A809" s="37"/>
    </row>
    <row r="810" spans="1:1" s="28" customFormat="1">
      <c r="A810" s="37"/>
    </row>
    <row r="811" spans="1:1" s="28" customFormat="1">
      <c r="A811" s="37"/>
    </row>
    <row r="812" spans="1:1" s="28" customFormat="1">
      <c r="A812" s="37"/>
    </row>
    <row r="813" spans="1:1" s="28" customFormat="1">
      <c r="A813" s="37"/>
    </row>
    <row r="814" spans="1:1" s="28" customFormat="1">
      <c r="A814" s="37"/>
    </row>
    <row r="815" spans="1:1" s="28" customFormat="1">
      <c r="A815" s="37"/>
    </row>
    <row r="816" spans="1:1" s="28" customFormat="1">
      <c r="A816" s="37"/>
    </row>
    <row r="817" spans="1:1" s="28" customFormat="1">
      <c r="A817" s="37"/>
    </row>
    <row r="818" spans="1:1" s="28" customFormat="1">
      <c r="A818" s="37"/>
    </row>
    <row r="819" spans="1:1" s="28" customFormat="1">
      <c r="A819" s="37"/>
    </row>
    <row r="820" spans="1:1" s="28" customFormat="1">
      <c r="A820" s="37"/>
    </row>
    <row r="821" spans="1:1" s="28" customFormat="1">
      <c r="A821" s="37"/>
    </row>
    <row r="822" spans="1:1" s="28" customFormat="1">
      <c r="A822" s="37"/>
    </row>
    <row r="823" spans="1:1" s="28" customFormat="1">
      <c r="A823" s="37"/>
    </row>
    <row r="824" spans="1:1" s="28" customFormat="1">
      <c r="A824" s="37"/>
    </row>
    <row r="825" spans="1:1" s="28" customFormat="1">
      <c r="A825" s="37"/>
    </row>
    <row r="826" spans="1:1" s="28" customFormat="1">
      <c r="A826" s="37"/>
    </row>
    <row r="827" spans="1:1" s="28" customFormat="1">
      <c r="A827" s="37"/>
    </row>
    <row r="828" spans="1:1" s="28" customFormat="1">
      <c r="A828" s="37"/>
    </row>
    <row r="829" spans="1:1" s="28" customFormat="1">
      <c r="A829" s="37"/>
    </row>
    <row r="830" spans="1:1" s="28" customFormat="1">
      <c r="A830" s="37"/>
    </row>
    <row r="831" spans="1:1" s="28" customFormat="1">
      <c r="A831" s="37"/>
    </row>
    <row r="832" spans="1:1" s="28" customFormat="1">
      <c r="A832" s="37"/>
    </row>
    <row r="833" spans="1:1" s="28" customFormat="1">
      <c r="A833" s="37"/>
    </row>
    <row r="834" spans="1:1" s="28" customFormat="1">
      <c r="A834" s="37"/>
    </row>
    <row r="835" spans="1:1" s="28" customFormat="1">
      <c r="A835" s="37"/>
    </row>
    <row r="836" spans="1:1" s="28" customFormat="1">
      <c r="A836" s="37"/>
    </row>
    <row r="837" spans="1:1" s="28" customFormat="1">
      <c r="A837" s="37"/>
    </row>
    <row r="838" spans="1:1" s="28" customFormat="1">
      <c r="A838" s="37"/>
    </row>
    <row r="839" spans="1:1" s="28" customFormat="1">
      <c r="A839" s="37"/>
    </row>
    <row r="840" spans="1:1" s="28" customFormat="1">
      <c r="A840" s="37"/>
    </row>
    <row r="841" spans="1:1" s="28" customFormat="1">
      <c r="A841" s="37"/>
    </row>
    <row r="842" spans="1:1" s="28" customFormat="1">
      <c r="A842" s="37"/>
    </row>
    <row r="843" spans="1:1" s="28" customFormat="1">
      <c r="A843" s="37"/>
    </row>
    <row r="844" spans="1:1" s="28" customFormat="1">
      <c r="A844" s="37"/>
    </row>
    <row r="845" spans="1:1" s="28" customFormat="1">
      <c r="A845" s="37"/>
    </row>
    <row r="846" spans="1:1" s="28" customFormat="1">
      <c r="A846" s="37"/>
    </row>
    <row r="847" spans="1:1" s="28" customFormat="1">
      <c r="A847" s="37"/>
    </row>
    <row r="848" spans="1:1" s="28" customFormat="1">
      <c r="A848" s="37"/>
    </row>
    <row r="849" spans="1:1" s="28" customFormat="1">
      <c r="A849" s="37"/>
    </row>
    <row r="850" spans="1:1" s="28" customFormat="1">
      <c r="A850" s="37"/>
    </row>
    <row r="851" spans="1:1" s="28" customFormat="1">
      <c r="A851" s="37"/>
    </row>
    <row r="852" spans="1:1" s="28" customFormat="1">
      <c r="A852" s="37"/>
    </row>
    <row r="853" spans="1:1" s="28" customFormat="1">
      <c r="A853" s="37"/>
    </row>
    <row r="854" spans="1:1" s="28" customFormat="1">
      <c r="A854" s="37"/>
    </row>
    <row r="855" spans="1:1" s="28" customFormat="1">
      <c r="A855" s="37"/>
    </row>
    <row r="856" spans="1:1" s="28" customFormat="1">
      <c r="A856" s="37"/>
    </row>
    <row r="857" spans="1:1" s="28" customFormat="1">
      <c r="A857" s="37"/>
    </row>
    <row r="858" spans="1:1" s="28" customFormat="1">
      <c r="A858" s="37"/>
    </row>
    <row r="859" spans="1:1" s="28" customFormat="1">
      <c r="A859" s="37"/>
    </row>
    <row r="860" spans="1:1" s="28" customFormat="1">
      <c r="A860" s="37"/>
    </row>
    <row r="861" spans="1:1" s="28" customFormat="1">
      <c r="A861" s="37"/>
    </row>
    <row r="862" spans="1:1" s="28" customFormat="1">
      <c r="A862" s="37"/>
    </row>
    <row r="863" spans="1:1" s="28" customFormat="1">
      <c r="A863" s="37"/>
    </row>
    <row r="864" spans="1:1" s="28" customFormat="1">
      <c r="A864" s="37"/>
    </row>
    <row r="865" spans="1:1" s="28" customFormat="1">
      <c r="A865" s="37"/>
    </row>
    <row r="866" spans="1:1" s="28" customFormat="1">
      <c r="A866" s="37"/>
    </row>
    <row r="867" spans="1:1" s="28" customFormat="1">
      <c r="A867" s="37"/>
    </row>
    <row r="868" spans="1:1" s="28" customFormat="1">
      <c r="A868" s="37"/>
    </row>
    <row r="869" spans="1:1" s="28" customFormat="1">
      <c r="A869" s="37"/>
    </row>
    <row r="870" spans="1:1" s="28" customFormat="1">
      <c r="A870" s="37"/>
    </row>
    <row r="871" spans="1:1" s="28" customFormat="1">
      <c r="A871" s="37"/>
    </row>
    <row r="872" spans="1:1" s="28" customFormat="1">
      <c r="A872" s="37"/>
    </row>
    <row r="873" spans="1:1" s="28" customFormat="1">
      <c r="A873" s="37"/>
    </row>
    <row r="874" spans="1:1" s="28" customFormat="1">
      <c r="A874" s="37"/>
    </row>
    <row r="875" spans="1:1" s="28" customFormat="1">
      <c r="A875" s="37"/>
    </row>
    <row r="876" spans="1:1" s="28" customFormat="1">
      <c r="A876" s="37"/>
    </row>
    <row r="877" spans="1:1" s="28" customFormat="1">
      <c r="A877" s="37"/>
    </row>
    <row r="878" spans="1:1" s="28" customFormat="1">
      <c r="A878" s="37"/>
    </row>
    <row r="879" spans="1:1" s="28" customFormat="1">
      <c r="A879" s="37"/>
    </row>
    <row r="880" spans="1:1" s="28" customFormat="1">
      <c r="A880" s="37"/>
    </row>
    <row r="881" spans="1:1" s="28" customFormat="1">
      <c r="A881" s="37"/>
    </row>
    <row r="882" spans="1:1" s="28" customFormat="1">
      <c r="A882" s="37"/>
    </row>
    <row r="883" spans="1:1" s="28" customFormat="1">
      <c r="A883" s="37"/>
    </row>
    <row r="884" spans="1:1" s="28" customFormat="1">
      <c r="A884" s="37"/>
    </row>
    <row r="885" spans="1:1" s="28" customFormat="1">
      <c r="A885" s="37"/>
    </row>
    <row r="886" spans="1:1" s="28" customFormat="1">
      <c r="A886" s="37"/>
    </row>
    <row r="887" spans="1:1" s="28" customFormat="1">
      <c r="A887" s="37"/>
    </row>
    <row r="888" spans="1:1" s="28" customFormat="1">
      <c r="A888" s="37"/>
    </row>
    <row r="889" spans="1:1" s="28" customFormat="1">
      <c r="A889" s="37"/>
    </row>
    <row r="890" spans="1:1" s="28" customFormat="1">
      <c r="A890" s="37"/>
    </row>
    <row r="891" spans="1:1" s="28" customFormat="1">
      <c r="A891" s="37"/>
    </row>
    <row r="892" spans="1:1" s="28" customFormat="1">
      <c r="A892" s="37"/>
    </row>
    <row r="893" spans="1:1" s="28" customFormat="1">
      <c r="A893" s="37"/>
    </row>
    <row r="894" spans="1:1" s="28" customFormat="1">
      <c r="A894" s="37"/>
    </row>
    <row r="895" spans="1:1" s="28" customFormat="1">
      <c r="A895" s="37"/>
    </row>
    <row r="896" spans="1:1" s="28" customFormat="1">
      <c r="A896" s="37"/>
    </row>
    <row r="897" spans="1:1" s="28" customFormat="1">
      <c r="A897" s="37"/>
    </row>
    <row r="898" spans="1:1" s="28" customFormat="1">
      <c r="A898" s="37"/>
    </row>
    <row r="899" spans="1:1" s="28" customFormat="1">
      <c r="A899" s="37"/>
    </row>
    <row r="900" spans="1:1" s="28" customFormat="1">
      <c r="A900" s="37"/>
    </row>
    <row r="901" spans="1:1" s="28" customFormat="1">
      <c r="A901" s="37"/>
    </row>
    <row r="902" spans="1:1" s="28" customFormat="1">
      <c r="A902" s="37"/>
    </row>
    <row r="903" spans="1:1" s="28" customFormat="1">
      <c r="A903" s="37"/>
    </row>
    <row r="904" spans="1:1" s="28" customFormat="1">
      <c r="A904" s="37"/>
    </row>
    <row r="905" spans="1:1" s="28" customFormat="1">
      <c r="A905" s="37"/>
    </row>
    <row r="906" spans="1:1" s="28" customFormat="1">
      <c r="A906" s="37"/>
    </row>
    <row r="907" spans="1:1" s="28" customFormat="1">
      <c r="A907" s="37"/>
    </row>
    <row r="908" spans="1:1" s="28" customFormat="1">
      <c r="A908" s="37"/>
    </row>
    <row r="909" spans="1:1" s="28" customFormat="1">
      <c r="A909" s="37"/>
    </row>
    <row r="910" spans="1:1" s="28" customFormat="1">
      <c r="A910" s="37"/>
    </row>
    <row r="911" spans="1:1" s="28" customFormat="1">
      <c r="A911" s="37"/>
    </row>
    <row r="912" spans="1:1" s="28" customFormat="1">
      <c r="A912" s="37"/>
    </row>
    <row r="913" spans="1:1" s="28" customFormat="1">
      <c r="A913" s="37"/>
    </row>
    <row r="914" spans="1:1" s="28" customFormat="1">
      <c r="A914" s="37"/>
    </row>
    <row r="915" spans="1:1" s="28" customFormat="1">
      <c r="A915" s="37"/>
    </row>
    <row r="916" spans="1:1" s="28" customFormat="1">
      <c r="A916" s="37"/>
    </row>
    <row r="917" spans="1:1" s="28" customFormat="1">
      <c r="A917" s="37"/>
    </row>
    <row r="918" spans="1:1" s="28" customFormat="1">
      <c r="A918" s="37"/>
    </row>
    <row r="919" spans="1:1" s="28" customFormat="1">
      <c r="A919" s="37"/>
    </row>
    <row r="920" spans="1:1" s="28" customFormat="1">
      <c r="A920" s="37"/>
    </row>
    <row r="921" spans="1:1" s="28" customFormat="1">
      <c r="A921" s="37"/>
    </row>
    <row r="922" spans="1:1" s="28" customFormat="1">
      <c r="A922" s="37"/>
    </row>
    <row r="923" spans="1:1" s="28" customFormat="1">
      <c r="A923" s="37"/>
    </row>
    <row r="924" spans="1:1" s="28" customFormat="1">
      <c r="A924" s="37"/>
    </row>
    <row r="925" spans="1:1" s="28" customFormat="1">
      <c r="A925" s="37"/>
    </row>
    <row r="926" spans="1:1" s="28" customFormat="1">
      <c r="A926" s="37"/>
    </row>
    <row r="927" spans="1:1" s="28" customFormat="1">
      <c r="A927" s="37"/>
    </row>
    <row r="928" spans="1:1" s="28" customFormat="1">
      <c r="A928" s="37"/>
    </row>
    <row r="929" spans="1:1" s="28" customFormat="1">
      <c r="A929" s="37"/>
    </row>
    <row r="930" spans="1:1" s="28" customFormat="1">
      <c r="A930" s="37"/>
    </row>
    <row r="931" spans="1:1" s="28" customFormat="1">
      <c r="A931" s="37"/>
    </row>
    <row r="932" spans="1:1" s="28" customFormat="1">
      <c r="A932" s="37"/>
    </row>
    <row r="933" spans="1:1" s="28" customFormat="1">
      <c r="A933" s="37"/>
    </row>
    <row r="934" spans="1:1" s="28" customFormat="1">
      <c r="A934" s="37"/>
    </row>
    <row r="935" spans="1:1" s="28" customFormat="1">
      <c r="A935" s="37"/>
    </row>
    <row r="936" spans="1:1" s="28" customFormat="1">
      <c r="A936" s="37"/>
    </row>
    <row r="937" spans="1:1" s="28" customFormat="1">
      <c r="A937" s="37"/>
    </row>
    <row r="938" spans="1:1" s="28" customFormat="1">
      <c r="A938" s="37"/>
    </row>
    <row r="939" spans="1:1" s="28" customFormat="1">
      <c r="A939" s="37"/>
    </row>
    <row r="940" spans="1:1" s="28" customFormat="1">
      <c r="A940" s="37"/>
    </row>
    <row r="941" spans="1:1" s="28" customFormat="1">
      <c r="A941" s="37"/>
    </row>
    <row r="942" spans="1:1" s="28" customFormat="1">
      <c r="A942" s="37"/>
    </row>
    <row r="943" spans="1:1" s="28" customFormat="1">
      <c r="A943" s="37"/>
    </row>
    <row r="944" spans="1:1" s="28" customFormat="1">
      <c r="A944" s="37"/>
    </row>
    <row r="945" spans="1:1" s="28" customFormat="1">
      <c r="A945" s="37"/>
    </row>
    <row r="946" spans="1:1" s="28" customFormat="1">
      <c r="A946" s="37"/>
    </row>
    <row r="947" spans="1:1" s="28" customFormat="1">
      <c r="A947" s="37"/>
    </row>
    <row r="948" spans="1:1" s="28" customFormat="1">
      <c r="A948" s="37"/>
    </row>
    <row r="949" spans="1:1" s="28" customFormat="1">
      <c r="A949" s="37"/>
    </row>
    <row r="950" spans="1:1" s="28" customFormat="1">
      <c r="A950" s="37"/>
    </row>
    <row r="951" spans="1:1" s="28" customFormat="1">
      <c r="A951" s="37"/>
    </row>
    <row r="952" spans="1:1" s="28" customFormat="1">
      <c r="A952" s="37"/>
    </row>
    <row r="953" spans="1:1" s="28" customFormat="1">
      <c r="A953" s="37"/>
    </row>
    <row r="954" spans="1:1" s="28" customFormat="1">
      <c r="A954" s="37"/>
    </row>
    <row r="955" spans="1:1" s="28" customFormat="1">
      <c r="A955" s="37"/>
    </row>
    <row r="956" spans="1:1" s="28" customFormat="1">
      <c r="A956" s="37"/>
    </row>
    <row r="957" spans="1:1" s="28" customFormat="1">
      <c r="A957" s="37"/>
    </row>
    <row r="958" spans="1:1" s="28" customFormat="1">
      <c r="A958" s="37"/>
    </row>
    <row r="959" spans="1:1" s="28" customFormat="1">
      <c r="A959" s="37"/>
    </row>
    <row r="960" spans="1:1" s="28" customFormat="1">
      <c r="A960" s="37"/>
    </row>
    <row r="961" spans="1:1" s="28" customFormat="1">
      <c r="A961" s="37"/>
    </row>
    <row r="962" spans="1:1" s="28" customFormat="1">
      <c r="A962" s="37"/>
    </row>
    <row r="963" spans="1:1" s="28" customFormat="1">
      <c r="A963" s="37"/>
    </row>
    <row r="964" spans="1:1" s="28" customFormat="1">
      <c r="A964" s="37"/>
    </row>
    <row r="965" spans="1:1" s="28" customFormat="1">
      <c r="A965" s="37"/>
    </row>
    <row r="966" spans="1:1" s="28" customFormat="1">
      <c r="A966" s="37"/>
    </row>
    <row r="967" spans="1:1" s="28" customFormat="1">
      <c r="A967" s="37"/>
    </row>
    <row r="968" spans="1:1" s="28" customFormat="1">
      <c r="A968" s="37"/>
    </row>
    <row r="969" spans="1:1" s="28" customFormat="1">
      <c r="A969" s="37"/>
    </row>
    <row r="970" spans="1:1" s="28" customFormat="1">
      <c r="A970" s="37"/>
    </row>
    <row r="971" spans="1:1" s="28" customFormat="1">
      <c r="A971" s="37"/>
    </row>
    <row r="972" spans="1:1" s="28" customFormat="1">
      <c r="A972" s="37"/>
    </row>
    <row r="973" spans="1:1" s="28" customFormat="1">
      <c r="A973" s="37"/>
    </row>
    <row r="974" spans="1:1" s="28" customFormat="1">
      <c r="A974" s="37"/>
    </row>
    <row r="975" spans="1:1" s="28" customFormat="1">
      <c r="A975" s="37"/>
    </row>
    <row r="976" spans="1:1" s="28" customFormat="1">
      <c r="A976" s="37"/>
    </row>
    <row r="977" spans="1:1" s="28" customFormat="1">
      <c r="A977" s="37"/>
    </row>
    <row r="978" spans="1:1" s="28" customFormat="1">
      <c r="A978" s="37"/>
    </row>
    <row r="979" spans="1:1" s="28" customFormat="1">
      <c r="A979" s="37"/>
    </row>
    <row r="980" spans="1:1" s="28" customFormat="1">
      <c r="A980" s="37"/>
    </row>
    <row r="981" spans="1:1" s="28" customFormat="1">
      <c r="A981" s="37"/>
    </row>
    <row r="982" spans="1:1" s="28" customFormat="1">
      <c r="A982" s="37"/>
    </row>
    <row r="983" spans="1:1" s="28" customFormat="1">
      <c r="A983" s="37"/>
    </row>
    <row r="984" spans="1:1" s="28" customFormat="1">
      <c r="A984" s="37"/>
    </row>
    <row r="985" spans="1:1" s="28" customFormat="1">
      <c r="A985" s="37"/>
    </row>
    <row r="986" spans="1:1" s="28" customFormat="1">
      <c r="A986" s="37"/>
    </row>
    <row r="987" spans="1:1" s="28" customFormat="1">
      <c r="A987" s="37"/>
    </row>
    <row r="988" spans="1:1" s="28" customFormat="1">
      <c r="A988" s="37"/>
    </row>
    <row r="989" spans="1:1" s="28" customFormat="1">
      <c r="A989" s="37"/>
    </row>
    <row r="990" spans="1:1" s="28" customFormat="1">
      <c r="A990" s="37"/>
    </row>
    <row r="991" spans="1:1" s="28" customFormat="1">
      <c r="A991" s="37"/>
    </row>
    <row r="992" spans="1:1" s="28" customFormat="1">
      <c r="A992" s="37"/>
    </row>
    <row r="993" spans="1:1" s="28" customFormat="1">
      <c r="A993" s="37"/>
    </row>
    <row r="994" spans="1:1" s="28" customFormat="1">
      <c r="A994" s="37"/>
    </row>
    <row r="995" spans="1:1" s="28" customFormat="1">
      <c r="A995" s="37"/>
    </row>
    <row r="996" spans="1:1" s="28" customFormat="1">
      <c r="A996" s="37"/>
    </row>
    <row r="997" spans="1:1" s="28" customFormat="1">
      <c r="A997" s="37"/>
    </row>
    <row r="998" spans="1:1" s="28" customFormat="1">
      <c r="A998" s="37"/>
    </row>
    <row r="999" spans="1:1" s="28" customFormat="1">
      <c r="A999" s="37"/>
    </row>
    <row r="1000" spans="1:1" s="28" customFormat="1">
      <c r="A1000" s="37"/>
    </row>
    <row r="1001" spans="1:1" s="28" customFormat="1">
      <c r="A1001" s="37"/>
    </row>
    <row r="1002" spans="1:1" s="28" customFormat="1">
      <c r="A1002" s="37"/>
    </row>
    <row r="1003" spans="1:1" s="28" customFormat="1">
      <c r="A1003" s="37"/>
    </row>
    <row r="1004" spans="1:1" s="28" customFormat="1">
      <c r="A1004" s="37"/>
    </row>
    <row r="1005" spans="1:1" s="28" customFormat="1">
      <c r="A1005" s="37"/>
    </row>
    <row r="1006" spans="1:1" s="28" customFormat="1">
      <c r="A1006" s="37"/>
    </row>
    <row r="1007" spans="1:1" s="28" customFormat="1">
      <c r="A1007" s="37"/>
    </row>
    <row r="1008" spans="1:1" s="28" customFormat="1">
      <c r="A1008" s="37"/>
    </row>
    <row r="1009" spans="1:1" s="28" customFormat="1">
      <c r="A1009" s="37"/>
    </row>
    <row r="1010" spans="1:1" s="28" customFormat="1">
      <c r="A1010" s="37"/>
    </row>
    <row r="1011" spans="1:1" s="28" customFormat="1">
      <c r="A1011" s="37"/>
    </row>
    <row r="1012" spans="1:1" s="28" customFormat="1">
      <c r="A1012" s="37"/>
    </row>
    <row r="1013" spans="1:1" s="28" customFormat="1">
      <c r="A1013" s="37"/>
    </row>
    <row r="1014" spans="1:1" s="28" customFormat="1">
      <c r="A1014" s="37"/>
    </row>
    <row r="1015" spans="1:1" s="28" customFormat="1">
      <c r="A1015" s="37"/>
    </row>
    <row r="1016" spans="1:1" s="28" customFormat="1">
      <c r="A1016" s="37"/>
    </row>
    <row r="1017" spans="1:1" s="28" customFormat="1">
      <c r="A1017" s="37"/>
    </row>
    <row r="1018" spans="1:1" s="28" customFormat="1">
      <c r="A1018" s="37"/>
    </row>
    <row r="1019" spans="1:1" s="28" customFormat="1">
      <c r="A1019" s="37"/>
    </row>
    <row r="1020" spans="1:1" s="28" customFormat="1">
      <c r="A1020" s="37"/>
    </row>
    <row r="1021" spans="1:1" s="28" customFormat="1">
      <c r="A1021" s="37"/>
    </row>
    <row r="1022" spans="1:1" s="28" customFormat="1">
      <c r="A1022" s="37"/>
    </row>
    <row r="1023" spans="1:1" s="28" customFormat="1">
      <c r="A1023" s="37"/>
    </row>
    <row r="1024" spans="1:1" s="28" customFormat="1">
      <c r="A1024" s="37"/>
    </row>
    <row r="1025" spans="1:1" s="28" customFormat="1">
      <c r="A1025" s="37"/>
    </row>
    <row r="1026" spans="1:1" s="28" customFormat="1">
      <c r="A1026" s="37"/>
    </row>
    <row r="1027" spans="1:1" s="28" customFormat="1">
      <c r="A1027" s="37"/>
    </row>
    <row r="1028" spans="1:1" s="28" customFormat="1">
      <c r="A1028" s="37"/>
    </row>
    <row r="1029" spans="1:1" s="28" customFormat="1">
      <c r="A1029" s="37"/>
    </row>
    <row r="1030" spans="1:1" s="28" customFormat="1">
      <c r="A1030" s="37"/>
    </row>
    <row r="1031" spans="1:1" s="28" customFormat="1">
      <c r="A1031" s="37"/>
    </row>
    <row r="1032" spans="1:1" s="28" customFormat="1">
      <c r="A1032" s="37"/>
    </row>
    <row r="1033" spans="1:1" s="28" customFormat="1">
      <c r="A1033" s="37"/>
    </row>
    <row r="1034" spans="1:1" s="28" customFormat="1">
      <c r="A1034" s="37"/>
    </row>
    <row r="1035" spans="1:1" s="28" customFormat="1">
      <c r="A1035" s="37"/>
    </row>
    <row r="1036" spans="1:1" s="28" customFormat="1">
      <c r="A1036" s="37"/>
    </row>
    <row r="1037" spans="1:1" s="28" customFormat="1">
      <c r="A1037" s="37"/>
    </row>
    <row r="1038" spans="1:1" s="28" customFormat="1">
      <c r="A1038" s="37"/>
    </row>
    <row r="1039" spans="1:1" s="28" customFormat="1">
      <c r="A1039" s="37"/>
    </row>
    <row r="1040" spans="1:1" s="28" customFormat="1">
      <c r="A1040" s="37"/>
    </row>
    <row r="1041" spans="1:1" s="28" customFormat="1">
      <c r="A1041" s="37"/>
    </row>
    <row r="1042" spans="1:1" s="28" customFormat="1">
      <c r="A1042" s="37"/>
    </row>
    <row r="1043" spans="1:1" s="28" customFormat="1">
      <c r="A1043" s="37"/>
    </row>
    <row r="1044" spans="1:1" s="28" customFormat="1">
      <c r="A1044" s="37"/>
    </row>
    <row r="1045" spans="1:1" s="28" customFormat="1">
      <c r="A1045" s="37"/>
    </row>
    <row r="1046" spans="1:1" s="28" customFormat="1">
      <c r="A1046" s="37"/>
    </row>
    <row r="1047" spans="1:1" s="28" customFormat="1">
      <c r="A1047" s="37"/>
    </row>
    <row r="1048" spans="1:1" s="28" customFormat="1">
      <c r="A1048" s="37"/>
    </row>
    <row r="1049" spans="1:1" s="28" customFormat="1">
      <c r="A1049" s="37"/>
    </row>
    <row r="1050" spans="1:1" s="28" customFormat="1">
      <c r="A1050" s="37"/>
    </row>
    <row r="1051" spans="1:1" s="28" customFormat="1">
      <c r="A1051" s="37"/>
    </row>
    <row r="1052" spans="1:1" s="28" customFormat="1">
      <c r="A1052" s="37"/>
    </row>
    <row r="1053" spans="1:1" s="28" customFormat="1">
      <c r="A1053" s="37"/>
    </row>
    <row r="1054" spans="1:1" s="28" customFormat="1">
      <c r="A1054" s="37"/>
    </row>
    <row r="1055" spans="1:1" s="28" customFormat="1">
      <c r="A1055" s="37"/>
    </row>
    <row r="1056" spans="1:1" s="28" customFormat="1">
      <c r="A1056" s="37"/>
    </row>
    <row r="1057" spans="1:1" s="28" customFormat="1">
      <c r="A1057" s="37"/>
    </row>
    <row r="1058" spans="1:1" s="28" customFormat="1">
      <c r="A1058" s="37"/>
    </row>
    <row r="1059" spans="1:1" s="28" customFormat="1">
      <c r="A1059" s="37"/>
    </row>
    <row r="1060" spans="1:1" s="28" customFormat="1">
      <c r="A1060" s="37"/>
    </row>
    <row r="1061" spans="1:1" s="28" customFormat="1">
      <c r="A1061" s="37"/>
    </row>
    <row r="1062" spans="1:1" s="28" customFormat="1">
      <c r="A1062" s="37"/>
    </row>
    <row r="1063" spans="1:1" s="28" customFormat="1">
      <c r="A1063" s="37"/>
    </row>
    <row r="1064" spans="1:1" s="28" customFormat="1">
      <c r="A1064" s="37"/>
    </row>
    <row r="1065" spans="1:1" s="28" customFormat="1">
      <c r="A1065" s="37"/>
    </row>
    <row r="1066" spans="1:1" s="28" customFormat="1">
      <c r="A1066" s="37"/>
    </row>
    <row r="1067" spans="1:1" s="28" customFormat="1">
      <c r="A1067" s="37"/>
    </row>
    <row r="1068" spans="1:1" s="28" customFormat="1">
      <c r="A1068" s="37"/>
    </row>
    <row r="1069" spans="1:1" s="28" customFormat="1">
      <c r="A1069" s="37"/>
    </row>
    <row r="1070" spans="1:1" s="28" customFormat="1">
      <c r="A1070" s="37"/>
    </row>
    <row r="1071" spans="1:1" s="28" customFormat="1">
      <c r="A1071" s="37"/>
    </row>
    <row r="1072" spans="1:1" s="28" customFormat="1">
      <c r="A1072" s="37"/>
    </row>
    <row r="1073" spans="1:1" s="28" customFormat="1">
      <c r="A1073" s="37"/>
    </row>
    <row r="1074" spans="1:1" s="28" customFormat="1">
      <c r="A1074" s="37"/>
    </row>
    <row r="1075" spans="1:1" s="28" customFormat="1">
      <c r="A1075" s="37"/>
    </row>
    <row r="1076" spans="1:1" s="28" customFormat="1">
      <c r="A1076" s="37"/>
    </row>
    <row r="1077" spans="1:1" s="28" customFormat="1">
      <c r="A1077" s="37"/>
    </row>
    <row r="1078" spans="1:1" s="28" customFormat="1">
      <c r="A1078" s="37"/>
    </row>
    <row r="1079" spans="1:1" s="28" customFormat="1">
      <c r="A1079" s="37"/>
    </row>
    <row r="1080" spans="1:1" s="28" customFormat="1">
      <c r="A1080" s="37"/>
    </row>
    <row r="1081" spans="1:1" s="28" customFormat="1">
      <c r="A1081" s="37"/>
    </row>
    <row r="1082" spans="1:1" s="28" customFormat="1">
      <c r="A1082" s="37"/>
    </row>
    <row r="1083" spans="1:1" s="28" customFormat="1">
      <c r="A1083" s="37"/>
    </row>
    <row r="1084" spans="1:1" s="28" customFormat="1">
      <c r="A1084" s="37"/>
    </row>
    <row r="1085" spans="1:1" s="28" customFormat="1">
      <c r="A1085" s="37"/>
    </row>
    <row r="1086" spans="1:1" s="28" customFormat="1">
      <c r="A1086" s="37"/>
    </row>
    <row r="1087" spans="1:1" s="28" customFormat="1">
      <c r="A1087" s="37"/>
    </row>
    <row r="1088" spans="1:1" s="28" customFormat="1">
      <c r="A1088" s="37"/>
    </row>
    <row r="1089" spans="1:1" s="28" customFormat="1">
      <c r="A1089" s="37"/>
    </row>
    <row r="1090" spans="1:1" s="28" customFormat="1">
      <c r="A1090" s="37"/>
    </row>
    <row r="1091" spans="1:1" s="28" customFormat="1">
      <c r="A1091" s="37"/>
    </row>
    <row r="1092" spans="1:1" s="28" customFormat="1">
      <c r="A1092" s="37"/>
    </row>
    <row r="1093" spans="1:1" s="28" customFormat="1">
      <c r="A1093" s="37"/>
    </row>
    <row r="1094" spans="1:1" s="28" customFormat="1">
      <c r="A1094" s="37"/>
    </row>
    <row r="1095" spans="1:1" s="28" customFormat="1">
      <c r="A1095" s="37"/>
    </row>
    <row r="1096" spans="1:1" s="28" customFormat="1">
      <c r="A1096" s="37"/>
    </row>
    <row r="1097" spans="1:1" s="28" customFormat="1">
      <c r="A1097" s="37"/>
    </row>
    <row r="1098" spans="1:1" s="28" customFormat="1">
      <c r="A1098" s="37"/>
    </row>
    <row r="1099" spans="1:1" s="28" customFormat="1">
      <c r="A1099" s="37"/>
    </row>
    <row r="1100" spans="1:1" s="28" customFormat="1">
      <c r="A1100" s="37"/>
    </row>
    <row r="1101" spans="1:1" s="28" customFormat="1">
      <c r="A1101" s="37"/>
    </row>
    <row r="1102" spans="1:1" s="28" customFormat="1">
      <c r="A1102" s="37"/>
    </row>
    <row r="1103" spans="1:1" s="28" customFormat="1">
      <c r="A1103" s="37"/>
    </row>
    <row r="1104" spans="1:1" s="28" customFormat="1">
      <c r="A1104" s="37"/>
    </row>
    <row r="1105" spans="1:1" s="28" customFormat="1">
      <c r="A1105" s="37"/>
    </row>
    <row r="1106" spans="1:1" s="28" customFormat="1">
      <c r="A1106" s="37"/>
    </row>
    <row r="1107" spans="1:1" s="28" customFormat="1">
      <c r="A1107" s="37"/>
    </row>
    <row r="1108" spans="1:1" s="28" customFormat="1">
      <c r="A1108" s="37"/>
    </row>
    <row r="1109" spans="1:1" s="28" customFormat="1">
      <c r="A1109" s="37"/>
    </row>
    <row r="1110" spans="1:1" s="28" customFormat="1">
      <c r="A1110" s="37"/>
    </row>
    <row r="1111" spans="1:1" s="28" customFormat="1">
      <c r="A1111" s="37"/>
    </row>
    <row r="1112" spans="1:1" s="28" customFormat="1">
      <c r="A1112" s="37"/>
    </row>
    <row r="1113" spans="1:1" s="28" customFormat="1">
      <c r="A1113" s="37"/>
    </row>
    <row r="1114" spans="1:1" s="28" customFormat="1">
      <c r="A1114" s="37"/>
    </row>
    <row r="1115" spans="1:1" s="28" customFormat="1">
      <c r="A1115" s="37"/>
    </row>
    <row r="1116" spans="1:1" s="28" customFormat="1">
      <c r="A1116" s="37"/>
    </row>
    <row r="1117" spans="1:1" s="28" customFormat="1">
      <c r="A1117" s="37"/>
    </row>
    <row r="1118" spans="1:1" s="28" customFormat="1">
      <c r="A1118" s="37"/>
    </row>
    <row r="1119" spans="1:1" s="28" customFormat="1">
      <c r="A1119" s="37"/>
    </row>
    <row r="1120" spans="1:1" s="28" customFormat="1">
      <c r="A1120" s="37"/>
    </row>
    <row r="1121" spans="1:1" s="28" customFormat="1">
      <c r="A1121" s="37"/>
    </row>
    <row r="1122" spans="1:1" s="28" customFormat="1">
      <c r="A1122" s="37"/>
    </row>
    <row r="1123" spans="1:1" s="28" customFormat="1">
      <c r="A1123" s="37"/>
    </row>
    <row r="1124" spans="1:1" s="28" customFormat="1">
      <c r="A1124" s="37"/>
    </row>
    <row r="1125" spans="1:1" s="28" customFormat="1">
      <c r="A1125" s="37"/>
    </row>
    <row r="1126" spans="1:1" s="28" customFormat="1">
      <c r="A1126" s="37"/>
    </row>
    <row r="1127" spans="1:1" s="28" customFormat="1">
      <c r="A1127" s="37"/>
    </row>
    <row r="1128" spans="1:1" s="28" customFormat="1">
      <c r="A1128" s="37"/>
    </row>
    <row r="1129" spans="1:1" s="28" customFormat="1">
      <c r="A1129" s="37"/>
    </row>
    <row r="1130" spans="1:1" s="28" customFormat="1">
      <c r="A1130" s="37"/>
    </row>
    <row r="1131" spans="1:1" s="28" customFormat="1">
      <c r="A1131" s="37"/>
    </row>
    <row r="1132" spans="1:1" s="28" customFormat="1">
      <c r="A1132" s="37"/>
    </row>
    <row r="1133" spans="1:1" s="28" customFormat="1">
      <c r="A1133" s="37"/>
    </row>
    <row r="1134" spans="1:1" s="28" customFormat="1">
      <c r="A1134" s="37"/>
    </row>
    <row r="1135" spans="1:1" s="28" customFormat="1">
      <c r="A1135" s="37"/>
    </row>
    <row r="1136" spans="1:1" s="28" customFormat="1">
      <c r="A1136" s="37"/>
    </row>
    <row r="1137" spans="1:1" s="28" customFormat="1">
      <c r="A1137" s="37"/>
    </row>
    <row r="1138" spans="1:1" s="28" customFormat="1">
      <c r="A1138" s="37"/>
    </row>
    <row r="1139" spans="1:1" s="28" customFormat="1">
      <c r="A1139" s="37"/>
    </row>
    <row r="1140" spans="1:1" s="28" customFormat="1">
      <c r="A1140" s="37"/>
    </row>
    <row r="1141" spans="1:1" s="28" customFormat="1">
      <c r="A1141" s="37"/>
    </row>
    <row r="1142" spans="1:1" s="28" customFormat="1">
      <c r="A1142" s="37"/>
    </row>
    <row r="1143" spans="1:1" s="28" customFormat="1">
      <c r="A1143" s="37"/>
    </row>
    <row r="1144" spans="1:1" s="28" customFormat="1">
      <c r="A1144" s="37"/>
    </row>
    <row r="1145" spans="1:1" s="28" customFormat="1">
      <c r="A1145" s="37"/>
    </row>
    <row r="1146" spans="1:1" s="28" customFormat="1">
      <c r="A1146" s="37"/>
    </row>
    <row r="1147" spans="1:1" s="28" customFormat="1">
      <c r="A1147" s="37"/>
    </row>
    <row r="1148" spans="1:1" s="28" customFormat="1">
      <c r="A1148" s="37"/>
    </row>
    <row r="1149" spans="1:1" s="28" customFormat="1">
      <c r="A1149" s="37"/>
    </row>
    <row r="1150" spans="1:1" s="28" customFormat="1">
      <c r="A1150" s="37"/>
    </row>
    <row r="1151" spans="1:1" s="28" customFormat="1">
      <c r="A1151" s="37"/>
    </row>
    <row r="1152" spans="1:1" s="28" customFormat="1">
      <c r="A1152" s="37"/>
    </row>
    <row r="1153" spans="1:1" s="28" customFormat="1">
      <c r="A1153" s="37"/>
    </row>
    <row r="1154" spans="1:1" s="28" customFormat="1">
      <c r="A1154" s="37"/>
    </row>
    <row r="1155" spans="1:1" s="28" customFormat="1">
      <c r="A1155" s="37"/>
    </row>
    <row r="1156" spans="1:1" s="28" customFormat="1">
      <c r="A1156" s="37"/>
    </row>
    <row r="1157" spans="1:1" s="28" customFormat="1">
      <c r="A1157" s="37"/>
    </row>
    <row r="1158" spans="1:1" s="28" customFormat="1">
      <c r="A1158" s="37"/>
    </row>
    <row r="1159" spans="1:1" s="28" customFormat="1">
      <c r="A1159" s="37"/>
    </row>
    <row r="1160" spans="1:1" s="28" customFormat="1">
      <c r="A1160" s="37"/>
    </row>
    <row r="1161" spans="1:1" s="28" customFormat="1">
      <c r="A1161" s="37"/>
    </row>
    <row r="1162" spans="1:1" s="28" customFormat="1">
      <c r="A1162" s="37"/>
    </row>
    <row r="1163" spans="1:1" s="28" customFormat="1">
      <c r="A1163" s="37"/>
    </row>
    <row r="1164" spans="1:1" s="28" customFormat="1">
      <c r="A1164" s="37"/>
    </row>
    <row r="1165" spans="1:1" s="28" customFormat="1">
      <c r="A1165" s="37"/>
    </row>
    <row r="1166" spans="1:1" s="28" customFormat="1">
      <c r="A1166" s="37"/>
    </row>
    <row r="1167" spans="1:1" s="28" customFormat="1">
      <c r="A1167" s="37"/>
    </row>
    <row r="1168" spans="1:1" s="28" customFormat="1">
      <c r="A1168" s="37"/>
    </row>
    <row r="1169" spans="1:1" s="28" customFormat="1">
      <c r="A1169" s="37"/>
    </row>
    <row r="1170" spans="1:1" s="28" customFormat="1">
      <c r="A1170" s="37"/>
    </row>
    <row r="1171" spans="1:1" s="28" customFormat="1">
      <c r="A1171" s="37"/>
    </row>
    <row r="1172" spans="1:1" s="28" customFormat="1">
      <c r="A1172" s="37"/>
    </row>
    <row r="1173" spans="1:1" s="28" customFormat="1">
      <c r="A1173" s="37"/>
    </row>
    <row r="1174" spans="1:1" s="28" customFormat="1">
      <c r="A1174" s="37"/>
    </row>
    <row r="1175" spans="1:1" s="28" customFormat="1">
      <c r="A1175" s="37"/>
    </row>
    <row r="1176" spans="1:1" s="28" customFormat="1">
      <c r="A1176" s="37"/>
    </row>
    <row r="1177" spans="1:1" s="28" customFormat="1">
      <c r="A1177" s="37"/>
    </row>
    <row r="1178" spans="1:1" s="28" customFormat="1">
      <c r="A1178" s="37"/>
    </row>
    <row r="1179" spans="1:1" s="28" customFormat="1">
      <c r="A1179" s="37"/>
    </row>
    <row r="1180" spans="1:1" s="28" customFormat="1">
      <c r="A1180" s="37"/>
    </row>
    <row r="1181" spans="1:1" s="28" customFormat="1">
      <c r="A1181" s="37"/>
    </row>
    <row r="1182" spans="1:1" s="28" customFormat="1">
      <c r="A1182" s="37"/>
    </row>
    <row r="1183" spans="1:1" s="28" customFormat="1">
      <c r="A1183" s="37"/>
    </row>
    <row r="1184" spans="1:1" s="28" customFormat="1">
      <c r="A1184" s="37"/>
    </row>
    <row r="1185" spans="1:1" s="28" customFormat="1">
      <c r="A1185" s="37"/>
    </row>
    <row r="1186" spans="1:1" s="28" customFormat="1">
      <c r="A1186" s="37"/>
    </row>
    <row r="1187" spans="1:1" s="28" customFormat="1">
      <c r="A1187" s="37"/>
    </row>
    <row r="1188" spans="1:1" s="28" customFormat="1">
      <c r="A1188" s="37"/>
    </row>
    <row r="1189" spans="1:1" s="28" customFormat="1">
      <c r="A1189" s="37"/>
    </row>
    <row r="1190" spans="1:1" s="28" customFormat="1">
      <c r="A1190" s="37"/>
    </row>
    <row r="1191" spans="1:1" s="28" customFormat="1">
      <c r="A1191" s="37"/>
    </row>
    <row r="1192" spans="1:1" s="28" customFormat="1">
      <c r="A1192" s="37"/>
    </row>
    <row r="1193" spans="1:1" s="28" customFormat="1">
      <c r="A1193" s="37"/>
    </row>
    <row r="1194" spans="1:1" s="28" customFormat="1">
      <c r="A1194" s="37"/>
    </row>
    <row r="1195" spans="1:1" s="28" customFormat="1">
      <c r="A1195" s="37"/>
    </row>
    <row r="1196" spans="1:1" s="28" customFormat="1">
      <c r="A1196" s="37"/>
    </row>
    <row r="1197" spans="1:1" s="28" customFormat="1">
      <c r="A1197" s="37"/>
    </row>
    <row r="1198" spans="1:1" s="28" customFormat="1">
      <c r="A1198" s="37"/>
    </row>
    <row r="1199" spans="1:1" s="28" customFormat="1">
      <c r="A1199" s="37"/>
    </row>
    <row r="1200" spans="1:1" s="28" customFormat="1">
      <c r="A1200" s="37"/>
    </row>
    <row r="1201" spans="1:1" s="28" customFormat="1">
      <c r="A1201" s="37"/>
    </row>
    <row r="1202" spans="1:1" s="28" customFormat="1">
      <c r="A1202" s="37"/>
    </row>
    <row r="1203" spans="1:1" s="28" customFormat="1">
      <c r="A1203" s="37"/>
    </row>
    <row r="1204" spans="1:1" s="28" customFormat="1">
      <c r="A1204" s="37"/>
    </row>
    <row r="1205" spans="1:1" s="28" customFormat="1">
      <c r="A1205" s="37"/>
    </row>
    <row r="1206" spans="1:1" s="28" customFormat="1">
      <c r="A1206" s="37"/>
    </row>
    <row r="1207" spans="1:1" s="28" customFormat="1">
      <c r="A1207" s="37"/>
    </row>
    <row r="1208" spans="1:1" s="28" customFormat="1">
      <c r="A1208" s="37"/>
    </row>
    <row r="1209" spans="1:1" s="28" customFormat="1">
      <c r="A1209" s="37"/>
    </row>
    <row r="1210" spans="1:1" s="28" customFormat="1">
      <c r="A1210" s="37"/>
    </row>
    <row r="1211" spans="1:1" s="28" customFormat="1">
      <c r="A1211" s="37"/>
    </row>
    <row r="1212" spans="1:1" s="28" customFormat="1">
      <c r="A1212" s="37"/>
    </row>
    <row r="1213" spans="1:1" s="28" customFormat="1">
      <c r="A1213" s="37"/>
    </row>
    <row r="1214" spans="1:1" s="28" customFormat="1">
      <c r="A1214" s="37"/>
    </row>
    <row r="1215" spans="1:1" s="28" customFormat="1">
      <c r="A1215" s="37"/>
    </row>
    <row r="1216" spans="1:1" s="28" customFormat="1">
      <c r="A1216" s="37"/>
    </row>
    <row r="1217" spans="1:1" s="28" customFormat="1">
      <c r="A1217" s="37"/>
    </row>
    <row r="1218" spans="1:1" s="28" customFormat="1">
      <c r="A1218" s="37"/>
    </row>
    <row r="1219" spans="1:1" s="28" customFormat="1">
      <c r="A1219" s="37"/>
    </row>
    <row r="1220" spans="1:1" s="28" customFormat="1">
      <c r="A1220" s="37"/>
    </row>
    <row r="1221" spans="1:1" s="28" customFormat="1">
      <c r="A1221" s="37"/>
    </row>
    <row r="1222" spans="1:1" s="28" customFormat="1">
      <c r="A1222" s="37"/>
    </row>
    <row r="1223" spans="1:1" s="28" customFormat="1">
      <c r="A1223" s="37"/>
    </row>
    <row r="1224" spans="1:1" s="28" customFormat="1">
      <c r="A1224" s="37"/>
    </row>
    <row r="1225" spans="1:1" s="28" customFormat="1">
      <c r="A1225" s="37"/>
    </row>
    <row r="1226" spans="1:1" s="28" customFormat="1">
      <c r="A1226" s="37"/>
    </row>
    <row r="1227" spans="1:1" s="28" customFormat="1">
      <c r="A1227" s="37"/>
    </row>
    <row r="1228" spans="1:1" s="28" customFormat="1">
      <c r="A1228" s="37"/>
    </row>
    <row r="1229" spans="1:1" s="28" customFormat="1">
      <c r="A1229" s="37"/>
    </row>
    <row r="1230" spans="1:1" s="28" customFormat="1">
      <c r="A1230" s="37"/>
    </row>
    <row r="1231" spans="1:1" s="28" customFormat="1">
      <c r="A1231" s="37"/>
    </row>
    <row r="1232" spans="1:1" s="28" customFormat="1">
      <c r="A1232" s="37"/>
    </row>
    <row r="1233" spans="1:1" s="28" customFormat="1">
      <c r="A1233" s="37"/>
    </row>
    <row r="1234" spans="1:1" s="28" customFormat="1">
      <c r="A1234" s="37"/>
    </row>
    <row r="1235" spans="1:1" s="28" customFormat="1">
      <c r="A1235" s="37"/>
    </row>
    <row r="1236" spans="1:1" s="28" customFormat="1">
      <c r="A1236" s="37"/>
    </row>
    <row r="1237" spans="1:1" s="28" customFormat="1">
      <c r="A1237" s="37"/>
    </row>
    <row r="1238" spans="1:1" s="28" customFormat="1">
      <c r="A1238" s="37"/>
    </row>
    <row r="1239" spans="1:1" s="28" customFormat="1">
      <c r="A1239" s="37"/>
    </row>
    <row r="1240" spans="1:1" s="28" customFormat="1">
      <c r="A1240" s="37"/>
    </row>
    <row r="1241" spans="1:1" s="28" customFormat="1">
      <c r="A1241" s="37"/>
    </row>
    <row r="1242" spans="1:1" s="28" customFormat="1">
      <c r="A1242" s="37"/>
    </row>
    <row r="1243" spans="1:1" s="28" customFormat="1">
      <c r="A1243" s="37"/>
    </row>
    <row r="1244" spans="1:1" s="28" customFormat="1">
      <c r="A1244" s="37"/>
    </row>
    <row r="1245" spans="1:1" s="28" customFormat="1">
      <c r="A1245" s="37"/>
    </row>
    <row r="1246" spans="1:1" s="28" customFormat="1">
      <c r="A1246" s="37"/>
    </row>
    <row r="1247" spans="1:1" s="28" customFormat="1">
      <c r="A1247" s="37"/>
    </row>
    <row r="1248" spans="1:1" s="28" customFormat="1">
      <c r="A1248" s="37"/>
    </row>
    <row r="1249" spans="1:1" s="28" customFormat="1">
      <c r="A1249" s="37"/>
    </row>
    <row r="1250" spans="1:1" s="28" customFormat="1">
      <c r="A1250" s="37"/>
    </row>
    <row r="1251" spans="1:1" s="28" customFormat="1">
      <c r="A1251" s="37"/>
    </row>
    <row r="1252" spans="1:1" s="28" customFormat="1">
      <c r="A1252" s="37"/>
    </row>
    <row r="1253" spans="1:1" s="28" customFormat="1">
      <c r="A1253" s="37"/>
    </row>
    <row r="1254" spans="1:1" s="28" customFormat="1">
      <c r="A1254" s="37"/>
    </row>
    <row r="1255" spans="1:1" s="28" customFormat="1">
      <c r="A1255" s="37"/>
    </row>
    <row r="1256" spans="1:1" s="28" customFormat="1">
      <c r="A1256" s="37"/>
    </row>
    <row r="1257" spans="1:1" s="28" customFormat="1">
      <c r="A1257" s="37"/>
    </row>
    <row r="1258" spans="1:1" s="28" customFormat="1">
      <c r="A1258" s="37"/>
    </row>
    <row r="1259" spans="1:1" s="28" customFormat="1">
      <c r="A1259" s="37"/>
    </row>
    <row r="1260" spans="1:1" s="28" customFormat="1">
      <c r="A1260" s="37"/>
    </row>
    <row r="1261" spans="1:1" s="28" customFormat="1">
      <c r="A1261" s="37"/>
    </row>
    <row r="1262" spans="1:1" s="28" customFormat="1">
      <c r="A1262" s="37"/>
    </row>
    <row r="1263" spans="1:1" s="28" customFormat="1">
      <c r="A1263" s="37"/>
    </row>
    <row r="1264" spans="1:1" s="28" customFormat="1">
      <c r="A1264" s="37"/>
    </row>
    <row r="1265" spans="1:1" s="28" customFormat="1">
      <c r="A1265" s="37"/>
    </row>
    <row r="1266" spans="1:1" s="28" customFormat="1">
      <c r="A1266" s="37"/>
    </row>
    <row r="1267" spans="1:1" s="28" customFormat="1">
      <c r="A1267" s="37"/>
    </row>
    <row r="1268" spans="1:1" s="28" customFormat="1">
      <c r="A1268" s="37"/>
    </row>
    <row r="1269" spans="1:1" s="28" customFormat="1">
      <c r="A1269" s="37"/>
    </row>
    <row r="1270" spans="1:1" s="28" customFormat="1">
      <c r="A1270" s="37"/>
    </row>
    <row r="1271" spans="1:1" s="28" customFormat="1">
      <c r="A1271" s="37"/>
    </row>
    <row r="1272" spans="1:1" s="28" customFormat="1">
      <c r="A1272" s="37"/>
    </row>
    <row r="1273" spans="1:1" s="28" customFormat="1">
      <c r="A1273" s="37"/>
    </row>
    <row r="1274" spans="1:1" s="28" customFormat="1">
      <c r="A1274" s="37"/>
    </row>
    <row r="1275" spans="1:1" s="28" customFormat="1">
      <c r="A1275" s="37"/>
    </row>
    <row r="1276" spans="1:1" s="28" customFormat="1">
      <c r="A1276" s="37"/>
    </row>
    <row r="1277" spans="1:1" s="28" customFormat="1">
      <c r="A1277" s="37"/>
    </row>
    <row r="1278" spans="1:1" s="28" customFormat="1">
      <c r="A1278" s="37"/>
    </row>
    <row r="1279" spans="1:1" s="28" customFormat="1">
      <c r="A1279" s="37"/>
    </row>
    <row r="1280" spans="1:1" s="28" customFormat="1">
      <c r="A1280" s="37"/>
    </row>
    <row r="1281" spans="1:1" s="28" customFormat="1">
      <c r="A1281" s="37"/>
    </row>
    <row r="1282" spans="1:1" s="28" customFormat="1">
      <c r="A1282" s="37"/>
    </row>
    <row r="1283" spans="1:1" s="28" customFormat="1">
      <c r="A1283" s="37"/>
    </row>
    <row r="1284" spans="1:1" s="28" customFormat="1">
      <c r="A1284" s="37"/>
    </row>
    <row r="1285" spans="1:1" s="28" customFormat="1">
      <c r="A1285" s="37"/>
    </row>
    <row r="1286" spans="1:1" s="28" customFormat="1">
      <c r="A1286" s="37"/>
    </row>
    <row r="1287" spans="1:1" s="28" customFormat="1">
      <c r="A1287" s="37"/>
    </row>
    <row r="1288" spans="1:1" s="28" customFormat="1">
      <c r="A1288" s="37"/>
    </row>
    <row r="1289" spans="1:1" s="28" customFormat="1">
      <c r="A1289" s="37"/>
    </row>
    <row r="1290" spans="1:1" s="28" customFormat="1">
      <c r="A1290" s="37"/>
    </row>
    <row r="1291" spans="1:1" s="28" customFormat="1">
      <c r="A1291" s="37"/>
    </row>
    <row r="1292" spans="1:1" s="28" customFormat="1">
      <c r="A1292" s="37"/>
    </row>
    <row r="1293" spans="1:1" s="28" customFormat="1">
      <c r="A1293" s="37"/>
    </row>
    <row r="1294" spans="1:1" s="28" customFormat="1">
      <c r="A1294" s="37"/>
    </row>
    <row r="1295" spans="1:1" s="28" customFormat="1">
      <c r="A1295" s="37"/>
    </row>
    <row r="1296" spans="1:1" s="28" customFormat="1">
      <c r="A1296" s="37"/>
    </row>
    <row r="1297" spans="1:1" s="28" customFormat="1">
      <c r="A1297" s="37"/>
    </row>
    <row r="1298" spans="1:1" s="28" customFormat="1">
      <c r="A1298" s="37"/>
    </row>
    <row r="1299" spans="1:1" s="28" customFormat="1">
      <c r="A1299" s="37"/>
    </row>
    <row r="1300" spans="1:1" s="28" customFormat="1">
      <c r="A1300" s="37"/>
    </row>
    <row r="1301" spans="1:1" s="28" customFormat="1">
      <c r="A1301" s="37"/>
    </row>
    <row r="1302" spans="1:1" s="28" customFormat="1">
      <c r="A1302" s="37"/>
    </row>
    <row r="1303" spans="1:1" s="28" customFormat="1">
      <c r="A1303" s="37"/>
    </row>
    <row r="1304" spans="1:1" s="28" customFormat="1">
      <c r="A1304" s="37"/>
    </row>
    <row r="1305" spans="1:1" s="28" customFormat="1">
      <c r="A1305" s="37"/>
    </row>
    <row r="1306" spans="1:1" s="28" customFormat="1">
      <c r="A1306" s="37"/>
    </row>
    <row r="1307" spans="1:1" s="28" customFormat="1">
      <c r="A1307" s="37"/>
    </row>
    <row r="1308" spans="1:1" s="28" customFormat="1">
      <c r="A1308" s="37"/>
    </row>
    <row r="1309" spans="1:1" s="28" customFormat="1">
      <c r="A1309" s="37"/>
    </row>
    <row r="1310" spans="1:1" s="28" customFormat="1">
      <c r="A1310" s="37"/>
    </row>
    <row r="1311" spans="1:1" s="28" customFormat="1">
      <c r="A1311" s="37"/>
    </row>
    <row r="1312" spans="1:1" s="28" customFormat="1">
      <c r="A1312" s="37"/>
    </row>
    <row r="1313" spans="1:1" s="28" customFormat="1">
      <c r="A1313" s="37"/>
    </row>
    <row r="1314" spans="1:1" s="28" customFormat="1">
      <c r="A1314" s="37"/>
    </row>
    <row r="1315" spans="1:1" s="28" customFormat="1">
      <c r="A1315" s="37"/>
    </row>
    <row r="1316" spans="1:1" s="28" customFormat="1">
      <c r="A1316" s="37"/>
    </row>
    <row r="1317" spans="1:1" s="28" customFormat="1">
      <c r="A1317" s="37"/>
    </row>
    <row r="1318" spans="1:1" s="28" customFormat="1">
      <c r="A1318" s="37"/>
    </row>
    <row r="1319" spans="1:1" s="28" customFormat="1">
      <c r="A1319" s="37"/>
    </row>
    <row r="1320" spans="1:1" s="28" customFormat="1">
      <c r="A1320" s="37"/>
    </row>
    <row r="1321" spans="1:1" s="28" customFormat="1">
      <c r="A1321" s="37"/>
    </row>
    <row r="1322" spans="1:1" s="28" customFormat="1">
      <c r="A1322" s="37"/>
    </row>
    <row r="1323" spans="1:1" s="28" customFormat="1">
      <c r="A1323" s="37"/>
    </row>
    <row r="1324" spans="1:1" s="28" customFormat="1">
      <c r="A1324" s="37"/>
    </row>
    <row r="1325" spans="1:1" s="28" customFormat="1">
      <c r="A1325" s="37"/>
    </row>
    <row r="1326" spans="1:1" s="28" customFormat="1">
      <c r="A1326" s="37"/>
    </row>
    <row r="1327" spans="1:1" s="28" customFormat="1">
      <c r="A1327" s="37"/>
    </row>
    <row r="1328" spans="1:1" s="28" customFormat="1">
      <c r="A1328" s="37"/>
    </row>
    <row r="1329" spans="1:1" s="28" customFormat="1">
      <c r="A1329" s="37"/>
    </row>
    <row r="1330" spans="1:1" s="28" customFormat="1">
      <c r="A1330" s="37"/>
    </row>
    <row r="1331" spans="1:1" s="28" customFormat="1">
      <c r="A1331" s="37"/>
    </row>
    <row r="1332" spans="1:1" s="28" customFormat="1">
      <c r="A1332" s="37"/>
    </row>
    <row r="1333" spans="1:1" s="28" customFormat="1">
      <c r="A1333" s="37"/>
    </row>
    <row r="1334" spans="1:1" s="28" customFormat="1">
      <c r="A1334" s="37"/>
    </row>
    <row r="1335" spans="1:1" s="28" customFormat="1">
      <c r="A1335" s="37"/>
    </row>
    <row r="1336" spans="1:1" s="28" customFormat="1">
      <c r="A1336" s="37"/>
    </row>
    <row r="1337" spans="1:1" s="28" customFormat="1">
      <c r="A1337" s="37"/>
    </row>
    <row r="1338" spans="1:1" s="28" customFormat="1">
      <c r="A1338" s="37"/>
    </row>
    <row r="1339" spans="1:1" s="28" customFormat="1">
      <c r="A1339" s="37"/>
    </row>
    <row r="1340" spans="1:1" s="28" customFormat="1">
      <c r="A1340" s="37"/>
    </row>
    <row r="1341" spans="1:1" s="28" customFormat="1">
      <c r="A1341" s="37"/>
    </row>
    <row r="1342" spans="1:1" s="28" customFormat="1">
      <c r="A1342" s="37"/>
    </row>
    <row r="1343" spans="1:1" s="28" customFormat="1">
      <c r="A1343" s="37"/>
    </row>
    <row r="1344" spans="1:1" s="28" customFormat="1">
      <c r="A1344" s="37"/>
    </row>
    <row r="1345" spans="1:1" s="28" customFormat="1">
      <c r="A1345" s="37"/>
    </row>
    <row r="1346" spans="1:1" s="28" customFormat="1">
      <c r="A1346" s="37"/>
    </row>
    <row r="1347" spans="1:1" s="28" customFormat="1">
      <c r="A1347" s="37"/>
    </row>
    <row r="1348" spans="1:1" s="28" customFormat="1">
      <c r="A1348" s="37"/>
    </row>
    <row r="1349" spans="1:1" s="28" customFormat="1">
      <c r="A1349" s="37"/>
    </row>
    <row r="1350" spans="1:1" s="28" customFormat="1">
      <c r="A1350" s="37"/>
    </row>
    <row r="1351" spans="1:1" s="28" customFormat="1">
      <c r="A1351" s="37"/>
    </row>
    <row r="1352" spans="1:1" s="28" customFormat="1">
      <c r="A1352" s="37"/>
    </row>
    <row r="1353" spans="1:1" s="28" customFormat="1">
      <c r="A1353" s="37"/>
    </row>
    <row r="1354" spans="1:1" s="28" customFormat="1">
      <c r="A1354" s="37"/>
    </row>
    <row r="1355" spans="1:1" s="28" customFormat="1">
      <c r="A1355" s="37"/>
    </row>
    <row r="1356" spans="1:1" s="28" customFormat="1">
      <c r="A1356" s="37"/>
    </row>
    <row r="1357" spans="1:1" s="28" customFormat="1">
      <c r="A1357" s="37"/>
    </row>
    <row r="1358" spans="1:1" s="28" customFormat="1">
      <c r="A1358" s="37"/>
    </row>
    <row r="1359" spans="1:1" s="28" customFormat="1">
      <c r="A1359" s="37"/>
    </row>
    <row r="1360" spans="1:1" s="28" customFormat="1">
      <c r="A1360" s="37"/>
    </row>
    <row r="1361" spans="1:1" s="28" customFormat="1">
      <c r="A1361" s="37"/>
    </row>
    <row r="1362" spans="1:1" s="28" customFormat="1">
      <c r="A1362" s="37"/>
    </row>
    <row r="1363" spans="1:1" s="28" customFormat="1">
      <c r="A1363" s="37"/>
    </row>
    <row r="1364" spans="1:1" s="28" customFormat="1">
      <c r="A1364" s="37"/>
    </row>
    <row r="1365" spans="1:1" s="28" customFormat="1">
      <c r="A1365" s="37"/>
    </row>
    <row r="1366" spans="1:1" s="28" customFormat="1">
      <c r="A1366" s="37"/>
    </row>
    <row r="1367" spans="1:1" s="28" customFormat="1">
      <c r="A1367" s="37"/>
    </row>
    <row r="1368" spans="1:1" s="28" customFormat="1">
      <c r="A1368" s="37"/>
    </row>
    <row r="1369" spans="1:1" s="28" customFormat="1">
      <c r="A1369" s="37"/>
    </row>
    <row r="1370" spans="1:1" s="28" customFormat="1">
      <c r="A1370" s="37"/>
    </row>
    <row r="1371" spans="1:1" s="28" customFormat="1">
      <c r="A1371" s="37"/>
    </row>
    <row r="1372" spans="1:1" s="28" customFormat="1">
      <c r="A1372" s="37"/>
    </row>
    <row r="1373" spans="1:1" s="28" customFormat="1">
      <c r="A1373" s="37"/>
    </row>
    <row r="1374" spans="1:1" s="28" customFormat="1">
      <c r="A1374" s="37"/>
    </row>
    <row r="1375" spans="1:1" s="28" customFormat="1">
      <c r="A1375" s="37"/>
    </row>
    <row r="1376" spans="1:1" s="28" customFormat="1">
      <c r="A1376" s="37"/>
    </row>
    <row r="1377" spans="1:1" s="28" customFormat="1">
      <c r="A1377" s="37"/>
    </row>
    <row r="1378" spans="1:1" s="28" customFormat="1">
      <c r="A1378" s="37"/>
    </row>
    <row r="1379" spans="1:1" s="28" customFormat="1">
      <c r="A1379" s="37"/>
    </row>
    <row r="1380" spans="1:1" s="28" customFormat="1">
      <c r="A1380" s="37"/>
    </row>
    <row r="1381" spans="1:1" s="28" customFormat="1">
      <c r="A1381" s="37"/>
    </row>
    <row r="1382" spans="1:1" s="28" customFormat="1">
      <c r="A1382" s="37"/>
    </row>
    <row r="1383" spans="1:1" s="28" customFormat="1">
      <c r="A1383" s="37"/>
    </row>
    <row r="1384" spans="1:1" s="28" customFormat="1">
      <c r="A1384" s="37"/>
    </row>
    <row r="1385" spans="1:1" s="28" customFormat="1">
      <c r="A1385" s="37"/>
    </row>
    <row r="1386" spans="1:1" s="28" customFormat="1">
      <c r="A1386" s="37"/>
    </row>
    <row r="1387" spans="1:1" s="28" customFormat="1">
      <c r="A1387" s="37"/>
    </row>
    <row r="1388" spans="1:1" s="28" customFormat="1">
      <c r="A1388" s="37"/>
    </row>
    <row r="1389" spans="1:1" s="28" customFormat="1">
      <c r="A1389" s="37"/>
    </row>
    <row r="1390" spans="1:1" s="28" customFormat="1">
      <c r="A1390" s="37"/>
    </row>
    <row r="1391" spans="1:1" s="28" customFormat="1">
      <c r="A1391" s="37"/>
    </row>
    <row r="1392" spans="1:1" s="28" customFormat="1">
      <c r="A1392" s="37"/>
    </row>
    <row r="1393" spans="1:1" s="28" customFormat="1">
      <c r="A1393" s="37"/>
    </row>
    <row r="1394" spans="1:1" s="28" customFormat="1">
      <c r="A1394" s="37"/>
    </row>
    <row r="1395" spans="1:1" s="28" customFormat="1">
      <c r="A1395" s="37"/>
    </row>
    <row r="1396" spans="1:1" s="28" customFormat="1">
      <c r="A1396" s="37"/>
    </row>
    <row r="1397" spans="1:1" s="28" customFormat="1">
      <c r="A1397" s="37"/>
    </row>
    <row r="1398" spans="1:1" s="28" customFormat="1">
      <c r="A1398" s="37"/>
    </row>
    <row r="1399" spans="1:1" s="28" customFormat="1">
      <c r="A1399" s="37"/>
    </row>
    <row r="1400" spans="1:1" s="28" customFormat="1">
      <c r="A1400" s="37"/>
    </row>
    <row r="1401" spans="1:1" s="28" customFormat="1">
      <c r="A1401" s="37"/>
    </row>
    <row r="1402" spans="1:1" s="28" customFormat="1">
      <c r="A1402" s="37"/>
    </row>
    <row r="1403" spans="1:1" s="28" customFormat="1">
      <c r="A1403" s="37"/>
    </row>
    <row r="1404" spans="1:1" s="28" customFormat="1">
      <c r="A1404" s="37"/>
    </row>
    <row r="1405" spans="1:1" s="28" customFormat="1">
      <c r="A1405" s="37"/>
    </row>
    <row r="1406" spans="1:1" s="28" customFormat="1">
      <c r="A1406" s="37"/>
    </row>
    <row r="1407" spans="1:1" s="28" customFormat="1">
      <c r="A1407" s="37"/>
    </row>
    <row r="1408" spans="1:1" s="28" customFormat="1">
      <c r="A1408" s="37"/>
    </row>
    <row r="1409" spans="1:1" s="28" customFormat="1">
      <c r="A1409" s="37"/>
    </row>
    <row r="1410" spans="1:1" s="28" customFormat="1">
      <c r="A1410" s="37"/>
    </row>
    <row r="1411" spans="1:1" s="28" customFormat="1">
      <c r="A1411" s="37"/>
    </row>
    <row r="1412" spans="1:1" s="28" customFormat="1">
      <c r="A1412" s="37"/>
    </row>
    <row r="1413" spans="1:1" s="28" customFormat="1">
      <c r="A1413" s="37"/>
    </row>
    <row r="1414" spans="1:1" s="28" customFormat="1">
      <c r="A1414" s="37"/>
    </row>
    <row r="1415" spans="1:1" s="28" customFormat="1">
      <c r="A1415" s="37"/>
    </row>
    <row r="1416" spans="1:1" s="28" customFormat="1">
      <c r="A1416" s="37"/>
    </row>
    <row r="1417" spans="1:1" s="28" customFormat="1">
      <c r="A1417" s="37"/>
    </row>
    <row r="1418" spans="1:1" s="28" customFormat="1">
      <c r="A1418" s="37"/>
    </row>
    <row r="1419" spans="1:1" s="28" customFormat="1">
      <c r="A1419" s="37"/>
    </row>
    <row r="1420" spans="1:1" s="28" customFormat="1">
      <c r="A1420" s="37"/>
    </row>
    <row r="1421" spans="1:1" s="28" customFormat="1">
      <c r="A1421" s="37"/>
    </row>
    <row r="1422" spans="1:1" s="28" customFormat="1">
      <c r="A1422" s="37"/>
    </row>
    <row r="1423" spans="1:1" s="28" customFormat="1">
      <c r="A1423" s="37"/>
    </row>
    <row r="1424" spans="1:1" s="28" customFormat="1">
      <c r="A1424" s="37"/>
    </row>
    <row r="1425" spans="1:1" s="28" customFormat="1">
      <c r="A1425" s="37"/>
    </row>
    <row r="1426" spans="1:1" s="28" customFormat="1">
      <c r="A1426" s="37"/>
    </row>
    <row r="1427" spans="1:1" s="28" customFormat="1">
      <c r="A1427" s="37"/>
    </row>
    <row r="1428" spans="1:1" s="28" customFormat="1">
      <c r="A1428" s="37"/>
    </row>
    <row r="1429" spans="1:1" s="28" customFormat="1">
      <c r="A1429" s="37"/>
    </row>
    <row r="1430" spans="1:1" s="28" customFormat="1">
      <c r="A1430" s="37"/>
    </row>
    <row r="1431" spans="1:1" s="28" customFormat="1">
      <c r="A1431" s="37"/>
    </row>
    <row r="1432" spans="1:1" s="28" customFormat="1">
      <c r="A1432" s="37"/>
    </row>
    <row r="1433" spans="1:1" s="28" customFormat="1">
      <c r="A1433" s="37"/>
    </row>
    <row r="1434" spans="1:1" s="28" customFormat="1">
      <c r="A1434" s="37"/>
    </row>
    <row r="1435" spans="1:1" s="28" customFormat="1">
      <c r="A1435" s="37"/>
    </row>
    <row r="1436" spans="1:1" s="28" customFormat="1">
      <c r="A1436" s="37"/>
    </row>
    <row r="1437" spans="1:1" s="28" customFormat="1">
      <c r="A1437" s="37"/>
    </row>
    <row r="1438" spans="1:1" s="28" customFormat="1">
      <c r="A1438" s="37"/>
    </row>
    <row r="1439" spans="1:1" s="28" customFormat="1">
      <c r="A1439" s="37"/>
    </row>
    <row r="1440" spans="1:1" s="28" customFormat="1">
      <c r="A1440" s="37"/>
    </row>
    <row r="1441" spans="1:1" s="28" customFormat="1">
      <c r="A1441" s="37"/>
    </row>
    <row r="1442" spans="1:1" s="28" customFormat="1">
      <c r="A1442" s="37"/>
    </row>
    <row r="1443" spans="1:1" s="28" customFormat="1">
      <c r="A1443" s="37"/>
    </row>
    <row r="1444" spans="1:1" s="28" customFormat="1">
      <c r="A1444" s="37"/>
    </row>
    <row r="1445" spans="1:1" s="28" customFormat="1">
      <c r="A1445" s="37"/>
    </row>
    <row r="1446" spans="1:1" s="28" customFormat="1">
      <c r="A1446" s="37"/>
    </row>
    <row r="1447" spans="1:1" s="28" customFormat="1">
      <c r="A1447" s="37"/>
    </row>
    <row r="1448" spans="1:1" s="28" customFormat="1">
      <c r="A1448" s="37"/>
    </row>
    <row r="1449" spans="1:1" s="28" customFormat="1">
      <c r="A1449" s="37"/>
    </row>
    <row r="1450" spans="1:1" s="28" customFormat="1">
      <c r="A1450" s="37"/>
    </row>
    <row r="1451" spans="1:1" s="28" customFormat="1">
      <c r="A1451" s="37"/>
    </row>
    <row r="1452" spans="1:1" s="28" customFormat="1">
      <c r="A1452" s="37"/>
    </row>
    <row r="1453" spans="1:1" s="28" customFormat="1">
      <c r="A1453" s="37"/>
    </row>
    <row r="1454" spans="1:1" s="28" customFormat="1">
      <c r="A1454" s="37"/>
    </row>
    <row r="1455" spans="1:1" s="28" customFormat="1">
      <c r="A1455" s="37"/>
    </row>
    <row r="1456" spans="1:1" s="28" customFormat="1">
      <c r="A1456" s="37"/>
    </row>
    <row r="1457" spans="1:1" s="28" customFormat="1">
      <c r="A1457" s="37"/>
    </row>
    <row r="1458" spans="1:1" s="28" customFormat="1">
      <c r="A1458" s="37"/>
    </row>
    <row r="1459" spans="1:1" s="28" customFormat="1">
      <c r="A1459" s="37"/>
    </row>
    <row r="1460" spans="1:1" s="28" customFormat="1">
      <c r="A1460" s="37"/>
    </row>
    <row r="1461" spans="1:1" s="28" customFormat="1">
      <c r="A1461" s="37"/>
    </row>
    <row r="1462" spans="1:1" s="28" customFormat="1">
      <c r="A1462" s="37"/>
    </row>
    <row r="1463" spans="1:1" s="28" customFormat="1">
      <c r="A1463" s="37"/>
    </row>
    <row r="1464" spans="1:1" s="28" customFormat="1">
      <c r="A1464" s="37"/>
    </row>
    <row r="1465" spans="1:1" s="28" customFormat="1">
      <c r="A1465" s="37"/>
    </row>
    <row r="1466" spans="1:1" s="28" customFormat="1">
      <c r="A1466" s="37"/>
    </row>
    <row r="1467" spans="1:1" s="28" customFormat="1">
      <c r="A1467" s="37"/>
    </row>
    <row r="1468" spans="1:1" s="28" customFormat="1">
      <c r="A1468" s="37"/>
    </row>
    <row r="1469" spans="1:1" s="28" customFormat="1">
      <c r="A1469" s="37"/>
    </row>
    <row r="1470" spans="1:1" s="28" customFormat="1">
      <c r="A1470" s="37"/>
    </row>
    <row r="1471" spans="1:1" s="28" customFormat="1">
      <c r="A1471" s="37"/>
    </row>
    <row r="1472" spans="1:1" s="28" customFormat="1">
      <c r="A1472" s="37"/>
    </row>
    <row r="1473" spans="1:1" s="28" customFormat="1">
      <c r="A1473" s="37"/>
    </row>
    <row r="1474" spans="1:1" s="28" customFormat="1">
      <c r="A1474" s="37"/>
    </row>
    <row r="1475" spans="1:1" s="28" customFormat="1">
      <c r="A1475" s="37"/>
    </row>
    <row r="1476" spans="1:1" s="28" customFormat="1">
      <c r="A1476" s="37"/>
    </row>
    <row r="1477" spans="1:1" s="28" customFormat="1">
      <c r="A1477" s="37"/>
    </row>
    <row r="1478" spans="1:1" s="28" customFormat="1">
      <c r="A1478" s="37"/>
    </row>
    <row r="1479" spans="1:1" s="28" customFormat="1">
      <c r="A1479" s="37"/>
    </row>
    <row r="1480" spans="1:1" s="28" customFormat="1">
      <c r="A1480" s="37"/>
    </row>
    <row r="1481" spans="1:1" s="28" customFormat="1">
      <c r="A1481" s="37"/>
    </row>
    <row r="1482" spans="1:1" s="28" customFormat="1">
      <c r="A1482" s="37"/>
    </row>
    <row r="1483" spans="1:1" s="28" customFormat="1">
      <c r="A1483" s="37"/>
    </row>
    <row r="1484" spans="1:1" s="28" customFormat="1">
      <c r="A1484" s="37"/>
    </row>
    <row r="1485" spans="1:1" s="28" customFormat="1">
      <c r="A1485" s="37"/>
    </row>
    <row r="1486" spans="1:1" s="28" customFormat="1">
      <c r="A1486" s="37"/>
    </row>
    <row r="1487" spans="1:1" s="28" customFormat="1">
      <c r="A1487" s="37"/>
    </row>
    <row r="1488" spans="1:1" s="28" customFormat="1">
      <c r="A1488" s="37"/>
    </row>
    <row r="1489" spans="1:1" s="28" customFormat="1">
      <c r="A1489" s="37"/>
    </row>
    <row r="1490" spans="1:1" s="28" customFormat="1">
      <c r="A1490" s="37"/>
    </row>
    <row r="1491" spans="1:1" s="28" customFormat="1">
      <c r="A1491" s="37"/>
    </row>
    <row r="1492" spans="1:1" s="28" customFormat="1">
      <c r="A1492" s="37"/>
    </row>
    <row r="1493" spans="1:1" s="28" customFormat="1">
      <c r="A1493" s="37"/>
    </row>
    <row r="1494" spans="1:1" s="28" customFormat="1">
      <c r="A1494" s="37"/>
    </row>
    <row r="1495" spans="1:1" s="28" customFormat="1">
      <c r="A1495" s="37"/>
    </row>
    <row r="1496" spans="1:1" s="28" customFormat="1">
      <c r="A1496" s="37"/>
    </row>
    <row r="1497" spans="1:1" s="28" customFormat="1">
      <c r="A1497" s="37"/>
    </row>
    <row r="1498" spans="1:1" s="28" customFormat="1">
      <c r="A1498" s="37"/>
    </row>
    <row r="1499" spans="1:1" s="28" customFormat="1">
      <c r="A1499" s="37"/>
    </row>
    <row r="1500" spans="1:1" s="28" customFormat="1">
      <c r="A1500" s="37"/>
    </row>
    <row r="1501" spans="1:1" s="28" customFormat="1">
      <c r="A1501" s="37"/>
    </row>
    <row r="1502" spans="1:1" s="28" customFormat="1">
      <c r="A1502" s="37"/>
    </row>
    <row r="1503" spans="1:1" s="28" customFormat="1">
      <c r="A1503" s="37"/>
    </row>
    <row r="1504" spans="1:1" s="28" customFormat="1">
      <c r="A1504" s="37"/>
    </row>
    <row r="1505" spans="1:1" s="28" customFormat="1">
      <c r="A1505" s="37"/>
    </row>
    <row r="1506" spans="1:1" s="28" customFormat="1">
      <c r="A1506" s="37"/>
    </row>
    <row r="1507" spans="1:1" s="28" customFormat="1">
      <c r="A1507" s="37"/>
    </row>
    <row r="1508" spans="1:1" s="28" customFormat="1">
      <c r="A1508" s="37"/>
    </row>
    <row r="1509" spans="1:1" s="28" customFormat="1">
      <c r="A1509" s="37"/>
    </row>
    <row r="1510" spans="1:1" s="28" customFormat="1">
      <c r="A1510" s="37"/>
    </row>
    <row r="1511" spans="1:1" s="28" customFormat="1">
      <c r="A1511" s="37"/>
    </row>
    <row r="1512" spans="1:1" s="28" customFormat="1">
      <c r="A1512" s="37"/>
    </row>
    <row r="1513" spans="1:1" s="28" customFormat="1">
      <c r="A1513" s="37"/>
    </row>
    <row r="1514" spans="1:1" s="28" customFormat="1">
      <c r="A1514" s="37"/>
    </row>
    <row r="1515" spans="1:1" s="28" customFormat="1">
      <c r="A1515" s="37"/>
    </row>
    <row r="1516" spans="1:1" s="28" customFormat="1">
      <c r="A1516" s="37"/>
    </row>
    <row r="1517" spans="1:1" s="28" customFormat="1">
      <c r="A1517" s="37"/>
    </row>
    <row r="1518" spans="1:1" s="28" customFormat="1">
      <c r="A1518" s="37"/>
    </row>
    <row r="1519" spans="1:1" s="28" customFormat="1">
      <c r="A1519" s="37"/>
    </row>
    <row r="1520" spans="1:1" s="28" customFormat="1">
      <c r="A1520" s="37"/>
    </row>
    <row r="1521" spans="1:1" s="28" customFormat="1">
      <c r="A1521" s="37"/>
    </row>
    <row r="1522" spans="1:1" s="28" customFormat="1">
      <c r="A1522" s="37"/>
    </row>
    <row r="1523" spans="1:1" s="28" customFormat="1">
      <c r="A1523" s="37"/>
    </row>
    <row r="1524" spans="1:1" s="28" customFormat="1">
      <c r="A1524" s="37"/>
    </row>
    <row r="1525" spans="1:1" s="28" customFormat="1">
      <c r="A1525" s="37"/>
    </row>
    <row r="1526" spans="1:1" s="28" customFormat="1">
      <c r="A1526" s="37"/>
    </row>
    <row r="1527" spans="1:1" s="28" customFormat="1">
      <c r="A1527" s="37"/>
    </row>
    <row r="1528" spans="1:1" s="28" customFormat="1">
      <c r="A1528" s="37"/>
    </row>
    <row r="1529" spans="1:1" s="28" customFormat="1">
      <c r="A1529" s="37"/>
    </row>
    <row r="1530" spans="1:1" s="28" customFormat="1">
      <c r="A1530" s="37"/>
    </row>
    <row r="1531" spans="1:1" s="28" customFormat="1">
      <c r="A1531" s="37"/>
    </row>
    <row r="1532" spans="1:1" s="28" customFormat="1">
      <c r="A1532" s="37"/>
    </row>
    <row r="1533" spans="1:1" s="28" customFormat="1">
      <c r="A1533" s="37"/>
    </row>
    <row r="1534" spans="1:1" s="28" customFormat="1">
      <c r="A1534" s="37"/>
    </row>
    <row r="1535" spans="1:1" s="28" customFormat="1">
      <c r="A1535" s="37"/>
    </row>
    <row r="1536" spans="1:1" s="28" customFormat="1">
      <c r="A1536" s="37"/>
    </row>
    <row r="1537" spans="1:1" s="28" customFormat="1">
      <c r="A1537" s="37"/>
    </row>
    <row r="1538" spans="1:1" s="28" customFormat="1">
      <c r="A1538" s="37"/>
    </row>
    <row r="1539" spans="1:1" s="28" customFormat="1">
      <c r="A1539" s="37"/>
    </row>
    <row r="1540" spans="1:1" s="28" customFormat="1">
      <c r="A1540" s="37"/>
    </row>
    <row r="1541" spans="1:1" s="28" customFormat="1">
      <c r="A1541" s="37"/>
    </row>
    <row r="1542" spans="1:1" s="28" customFormat="1">
      <c r="A1542" s="37"/>
    </row>
    <row r="1543" spans="1:1" s="28" customFormat="1">
      <c r="A1543" s="37"/>
    </row>
    <row r="1544" spans="1:1" s="28" customFormat="1">
      <c r="A1544" s="37"/>
    </row>
    <row r="1545" spans="1:1" s="28" customFormat="1">
      <c r="A1545" s="37"/>
    </row>
    <row r="1546" spans="1:1" s="28" customFormat="1">
      <c r="A1546" s="37"/>
    </row>
    <row r="1547" spans="1:1" s="28" customFormat="1">
      <c r="A1547" s="37"/>
    </row>
    <row r="1548" spans="1:1" s="28" customFormat="1">
      <c r="A1548" s="37"/>
    </row>
    <row r="1549" spans="1:1" s="28" customFormat="1">
      <c r="A1549" s="37"/>
    </row>
    <row r="1550" spans="1:1" s="28" customFormat="1">
      <c r="A1550" s="37"/>
    </row>
    <row r="1551" spans="1:1" s="28" customFormat="1">
      <c r="A1551" s="37"/>
    </row>
    <row r="1552" spans="1:1" s="28" customFormat="1">
      <c r="A1552" s="37"/>
    </row>
    <row r="1553" spans="1:1" s="28" customFormat="1">
      <c r="A1553" s="37"/>
    </row>
    <row r="1554" spans="1:1" s="28" customFormat="1">
      <c r="A1554" s="37"/>
    </row>
    <row r="1555" spans="1:1" s="28" customFormat="1">
      <c r="A1555" s="37"/>
    </row>
    <row r="1556" spans="1:1" s="28" customFormat="1">
      <c r="A1556" s="37"/>
    </row>
    <row r="1557" spans="1:1" s="28" customFormat="1">
      <c r="A1557" s="37"/>
    </row>
    <row r="1558" spans="1:1" s="28" customFormat="1">
      <c r="A1558" s="37"/>
    </row>
    <row r="1559" spans="1:1" s="28" customFormat="1">
      <c r="A1559" s="37"/>
    </row>
    <row r="1560" spans="1:1" s="28" customFormat="1">
      <c r="A1560" s="37"/>
    </row>
    <row r="1561" spans="1:1" s="28" customFormat="1">
      <c r="A1561" s="37"/>
    </row>
    <row r="1562" spans="1:1" s="28" customFormat="1">
      <c r="A1562" s="37"/>
    </row>
    <row r="1563" spans="1:1" s="28" customFormat="1">
      <c r="A1563" s="37"/>
    </row>
    <row r="1564" spans="1:1" s="28" customFormat="1">
      <c r="A1564" s="37"/>
    </row>
    <row r="1565" spans="1:1" s="28" customFormat="1">
      <c r="A1565" s="37"/>
    </row>
    <row r="1566" spans="1:1" s="28" customFormat="1">
      <c r="A1566" s="37"/>
    </row>
    <row r="1567" spans="1:1" s="28" customFormat="1">
      <c r="A1567" s="37"/>
    </row>
    <row r="1568" spans="1:1" s="28" customFormat="1">
      <c r="A1568" s="37"/>
    </row>
    <row r="1569" spans="1:1" s="28" customFormat="1">
      <c r="A1569" s="37"/>
    </row>
    <row r="1570" spans="1:1" s="28" customFormat="1">
      <c r="A1570" s="37"/>
    </row>
    <row r="1571" spans="1:1" s="28" customFormat="1">
      <c r="A1571" s="37"/>
    </row>
    <row r="1572" spans="1:1" s="28" customFormat="1">
      <c r="A1572" s="37"/>
    </row>
    <row r="1573" spans="1:1" s="28" customFormat="1">
      <c r="A1573" s="37"/>
    </row>
    <row r="1574" spans="1:1" s="28" customFormat="1">
      <c r="A1574" s="37"/>
    </row>
    <row r="1575" spans="1:1" s="28" customFormat="1">
      <c r="A1575" s="37"/>
    </row>
    <row r="1576" spans="1:1" s="28" customFormat="1">
      <c r="A1576" s="37"/>
    </row>
    <row r="1577" spans="1:1" s="28" customFormat="1">
      <c r="A1577" s="37"/>
    </row>
    <row r="1578" spans="1:1" s="28" customFormat="1">
      <c r="A1578" s="37"/>
    </row>
    <row r="1579" spans="1:1" s="28" customFormat="1">
      <c r="A1579" s="37"/>
    </row>
    <row r="1580" spans="1:1" s="28" customFormat="1">
      <c r="A1580" s="37"/>
    </row>
    <row r="1581" spans="1:1" s="28" customFormat="1">
      <c r="A1581" s="37"/>
    </row>
    <row r="1582" spans="1:1" s="28" customFormat="1">
      <c r="A1582" s="37"/>
    </row>
    <row r="1583" spans="1:1" s="28" customFormat="1">
      <c r="A1583" s="37"/>
    </row>
    <row r="1584" spans="1:1" s="28" customFormat="1">
      <c r="A1584" s="37"/>
    </row>
    <row r="1585" spans="1:1" s="28" customFormat="1">
      <c r="A1585" s="37"/>
    </row>
    <row r="1586" spans="1:1" s="28" customFormat="1">
      <c r="A1586" s="37"/>
    </row>
    <row r="1587" spans="1:1" s="28" customFormat="1">
      <c r="A1587" s="37"/>
    </row>
    <row r="1588" spans="1:1" s="28" customFormat="1">
      <c r="A1588" s="37"/>
    </row>
    <row r="1589" spans="1:1" s="28" customFormat="1">
      <c r="A1589" s="37"/>
    </row>
    <row r="1590" spans="1:1" s="28" customFormat="1">
      <c r="A1590" s="37"/>
    </row>
    <row r="1591" spans="1:1" s="28" customFormat="1">
      <c r="A1591" s="37"/>
    </row>
    <row r="1592" spans="1:1" s="28" customFormat="1">
      <c r="A1592" s="37"/>
    </row>
    <row r="1593" spans="1:1" s="28" customFormat="1">
      <c r="A1593" s="37"/>
    </row>
    <row r="1594" spans="1:1" s="28" customFormat="1">
      <c r="A1594" s="37"/>
    </row>
    <row r="1595" spans="1:1" s="28" customFormat="1">
      <c r="A1595" s="37"/>
    </row>
    <row r="1596" spans="1:1" s="28" customFormat="1">
      <c r="A1596" s="37"/>
    </row>
    <row r="1597" spans="1:1" s="28" customFormat="1">
      <c r="A1597" s="37"/>
    </row>
    <row r="1598" spans="1:1" s="28" customFormat="1">
      <c r="A1598" s="37"/>
    </row>
    <row r="1599" spans="1:1" s="28" customFormat="1">
      <c r="A1599" s="37"/>
    </row>
    <row r="1600" spans="1:1" s="28" customFormat="1">
      <c r="A1600" s="37"/>
    </row>
    <row r="1601" spans="1:1" s="28" customFormat="1">
      <c r="A1601" s="37"/>
    </row>
    <row r="1602" spans="1:1" s="28" customFormat="1">
      <c r="A1602" s="37"/>
    </row>
    <row r="1603" spans="1:1" s="28" customFormat="1">
      <c r="A1603" s="37"/>
    </row>
    <row r="1604" spans="1:1" s="28" customFormat="1">
      <c r="A1604" s="37"/>
    </row>
    <row r="1605" spans="1:1" s="28" customFormat="1">
      <c r="A1605" s="37"/>
    </row>
    <row r="1606" spans="1:1" s="28" customFormat="1">
      <c r="A1606" s="37"/>
    </row>
    <row r="1607" spans="1:1" s="28" customFormat="1">
      <c r="A1607" s="37"/>
    </row>
    <row r="1608" spans="1:1" s="28" customFormat="1">
      <c r="A1608" s="37"/>
    </row>
    <row r="1609" spans="1:1" s="28" customFormat="1">
      <c r="A1609" s="37"/>
    </row>
    <row r="1610" spans="1:1" s="28" customFormat="1">
      <c r="A1610" s="37"/>
    </row>
    <row r="1611" spans="1:1" s="28" customFormat="1">
      <c r="A1611" s="37"/>
    </row>
    <row r="1612" spans="1:1" s="28" customFormat="1">
      <c r="A1612" s="37"/>
    </row>
    <row r="1613" spans="1:1" s="28" customFormat="1">
      <c r="A1613" s="37"/>
    </row>
    <row r="1614" spans="1:1" s="28" customFormat="1">
      <c r="A1614" s="37"/>
    </row>
    <row r="1615" spans="1:1" s="28" customFormat="1">
      <c r="A1615" s="37"/>
    </row>
    <row r="1616" spans="1:1" s="28" customFormat="1">
      <c r="A1616" s="37"/>
    </row>
    <row r="1617" spans="1:1" s="28" customFormat="1">
      <c r="A1617" s="37"/>
    </row>
    <row r="1618" spans="1:1" s="28" customFormat="1">
      <c r="A1618" s="37"/>
    </row>
    <row r="1619" spans="1:1" s="28" customFormat="1">
      <c r="A1619" s="37"/>
    </row>
    <row r="1620" spans="1:1" s="28" customFormat="1">
      <c r="A1620" s="37"/>
    </row>
    <row r="1621" spans="1:1" s="28" customFormat="1">
      <c r="A1621" s="37"/>
    </row>
    <row r="1622" spans="1:1" s="28" customFormat="1">
      <c r="A1622" s="37"/>
    </row>
    <row r="1623" spans="1:1" s="28" customFormat="1">
      <c r="A1623" s="37"/>
    </row>
    <row r="1624" spans="1:1" s="28" customFormat="1">
      <c r="A1624" s="37"/>
    </row>
    <row r="1625" spans="1:1" s="28" customFormat="1">
      <c r="A1625" s="37"/>
    </row>
    <row r="1626" spans="1:1" s="28" customFormat="1">
      <c r="A1626" s="37"/>
    </row>
    <row r="1627" spans="1:1" s="28" customFormat="1">
      <c r="A1627" s="37"/>
    </row>
    <row r="1628" spans="1:1" s="28" customFormat="1">
      <c r="A1628" s="37"/>
    </row>
    <row r="1629" spans="1:1" s="28" customFormat="1">
      <c r="A1629" s="37"/>
    </row>
    <row r="1630" spans="1:1" s="28" customFormat="1">
      <c r="A1630" s="37"/>
    </row>
    <row r="1631" spans="1:1" s="28" customFormat="1">
      <c r="A1631" s="37"/>
    </row>
    <row r="1632" spans="1:1" s="28" customFormat="1">
      <c r="A1632" s="37"/>
    </row>
    <row r="1633" spans="1:1" s="28" customFormat="1">
      <c r="A1633" s="37"/>
    </row>
    <row r="1634" spans="1:1" s="28" customFormat="1">
      <c r="A1634" s="37"/>
    </row>
    <row r="1635" spans="1:1" s="28" customFormat="1">
      <c r="A1635" s="37"/>
    </row>
    <row r="1636" spans="1:1" s="28" customFormat="1">
      <c r="A1636" s="37"/>
    </row>
    <row r="1637" spans="1:1" s="28" customFormat="1">
      <c r="A1637" s="37"/>
    </row>
    <row r="1638" spans="1:1" s="28" customFormat="1">
      <c r="A1638" s="37"/>
    </row>
    <row r="1639" spans="1:1" s="28" customFormat="1">
      <c r="A1639" s="37"/>
    </row>
    <row r="1640" spans="1:1" s="28" customFormat="1">
      <c r="A1640" s="37"/>
    </row>
    <row r="1641" spans="1:1" s="28" customFormat="1">
      <c r="A1641" s="37"/>
    </row>
    <row r="1642" spans="1:1" s="28" customFormat="1">
      <c r="A1642" s="37"/>
    </row>
    <row r="1643" spans="1:1" s="28" customFormat="1">
      <c r="A1643" s="37"/>
    </row>
    <row r="1644" spans="1:1" s="28" customFormat="1">
      <c r="A1644" s="37"/>
    </row>
    <row r="1645" spans="1:1" s="28" customFormat="1">
      <c r="A1645" s="37"/>
    </row>
    <row r="1646" spans="1:1" s="28" customFormat="1">
      <c r="A1646" s="37"/>
    </row>
    <row r="1647" spans="1:1" s="28" customFormat="1">
      <c r="A1647" s="37"/>
    </row>
    <row r="1648" spans="1:1" s="28" customFormat="1">
      <c r="A1648" s="37"/>
    </row>
    <row r="1649" spans="1:1" s="28" customFormat="1">
      <c r="A1649" s="37"/>
    </row>
    <row r="1650" spans="1:1" s="28" customFormat="1">
      <c r="A1650" s="37"/>
    </row>
    <row r="1651" spans="1:1" s="28" customFormat="1">
      <c r="A1651" s="37"/>
    </row>
    <row r="1652" spans="1:1" s="28" customFormat="1">
      <c r="A1652" s="37"/>
    </row>
    <row r="1653" spans="1:1" s="28" customFormat="1">
      <c r="A1653" s="37"/>
    </row>
    <row r="1654" spans="1:1" s="28" customFormat="1">
      <c r="A1654" s="37"/>
    </row>
    <row r="1655" spans="1:1" s="28" customFormat="1">
      <c r="A1655" s="37"/>
    </row>
    <row r="1656" spans="1:1" s="28" customFormat="1">
      <c r="A1656" s="37"/>
    </row>
    <row r="1657" spans="1:1" s="28" customFormat="1">
      <c r="A1657" s="37"/>
    </row>
    <row r="1658" spans="1:1" s="28" customFormat="1">
      <c r="A1658" s="37"/>
    </row>
    <row r="1659" spans="1:1" s="28" customFormat="1">
      <c r="A1659" s="37"/>
    </row>
    <row r="1660" spans="1:1" s="28" customFormat="1">
      <c r="A1660" s="37"/>
    </row>
    <row r="1661" spans="1:1" s="28" customFormat="1">
      <c r="A1661" s="37"/>
    </row>
    <row r="1662" spans="1:1" s="28" customFormat="1">
      <c r="A1662" s="37"/>
    </row>
    <row r="1663" spans="1:1" s="28" customFormat="1">
      <c r="A1663" s="37"/>
    </row>
    <row r="1664" spans="1:1" s="28" customFormat="1">
      <c r="A1664" s="37"/>
    </row>
    <row r="1665" spans="1:1" s="28" customFormat="1">
      <c r="A1665" s="37"/>
    </row>
    <row r="1666" spans="1:1" s="28" customFormat="1">
      <c r="A1666" s="37"/>
    </row>
    <row r="1667" spans="1:1" s="28" customFormat="1">
      <c r="A1667" s="37"/>
    </row>
    <row r="1668" spans="1:1" s="28" customFormat="1">
      <c r="A1668" s="37"/>
    </row>
    <row r="1669" spans="1:1" s="28" customFormat="1">
      <c r="A1669" s="37"/>
    </row>
    <row r="1670" spans="1:1" s="28" customFormat="1">
      <c r="A1670" s="37"/>
    </row>
    <row r="1671" spans="1:1" s="28" customFormat="1">
      <c r="A1671" s="37"/>
    </row>
    <row r="1672" spans="1:1" s="28" customFormat="1">
      <c r="A1672" s="37"/>
    </row>
    <row r="1673" spans="1:1" s="28" customFormat="1">
      <c r="A1673" s="37"/>
    </row>
    <row r="1674" spans="1:1" s="28" customFormat="1">
      <c r="A1674" s="37"/>
    </row>
    <row r="1675" spans="1:1" s="28" customFormat="1">
      <c r="A1675" s="37"/>
    </row>
    <row r="1676" spans="1:1" s="28" customFormat="1">
      <c r="A1676" s="37"/>
    </row>
    <row r="1677" spans="1:1" s="28" customFormat="1">
      <c r="A1677" s="37"/>
    </row>
    <row r="1678" spans="1:1" s="28" customFormat="1">
      <c r="A1678" s="37"/>
    </row>
    <row r="1679" spans="1:1" s="28" customFormat="1">
      <c r="A1679" s="37"/>
    </row>
    <row r="1680" spans="1:1" s="28" customFormat="1">
      <c r="A1680" s="37"/>
    </row>
    <row r="1681" spans="1:1" s="28" customFormat="1">
      <c r="A1681" s="37"/>
    </row>
    <row r="1682" spans="1:1" s="28" customFormat="1">
      <c r="A1682" s="37"/>
    </row>
    <row r="1683" spans="1:1" s="28" customFormat="1">
      <c r="A1683" s="37"/>
    </row>
    <row r="1684" spans="1:1" s="28" customFormat="1">
      <c r="A1684" s="37"/>
    </row>
    <row r="1685" spans="1:1" s="28" customFormat="1">
      <c r="A1685" s="37"/>
    </row>
    <row r="1686" spans="1:1" s="28" customFormat="1">
      <c r="A1686" s="37"/>
    </row>
    <row r="1687" spans="1:1" s="28" customFormat="1">
      <c r="A1687" s="37"/>
    </row>
    <row r="1688" spans="1:1" s="28" customFormat="1">
      <c r="A1688" s="37"/>
    </row>
    <row r="1689" spans="1:1" s="28" customFormat="1">
      <c r="A1689" s="37"/>
    </row>
    <row r="1690" spans="1:1" s="28" customFormat="1">
      <c r="A1690" s="37"/>
    </row>
    <row r="1691" spans="1:1" s="28" customFormat="1">
      <c r="A1691" s="37"/>
    </row>
    <row r="1692" spans="1:1" s="28" customFormat="1">
      <c r="A1692" s="37"/>
    </row>
    <row r="1693" spans="1:1" s="28" customFormat="1">
      <c r="A1693" s="37"/>
    </row>
    <row r="1694" spans="1:1" s="28" customFormat="1">
      <c r="A1694" s="37"/>
    </row>
    <row r="1695" spans="1:1" s="28" customFormat="1">
      <c r="A1695" s="37"/>
    </row>
    <row r="1696" spans="1:1" s="28" customFormat="1">
      <c r="A1696" s="37"/>
    </row>
    <row r="1697" spans="1:1" s="28" customFormat="1">
      <c r="A1697" s="37"/>
    </row>
    <row r="1698" spans="1:1" s="28" customFormat="1">
      <c r="A1698" s="37"/>
    </row>
    <row r="1699" spans="1:1" s="28" customFormat="1">
      <c r="A1699" s="37"/>
    </row>
    <row r="1700" spans="1:1" s="28" customFormat="1">
      <c r="A1700" s="37"/>
    </row>
    <row r="1701" spans="1:1" s="28" customFormat="1">
      <c r="A1701" s="37"/>
    </row>
    <row r="1702" spans="1:1" s="28" customFormat="1">
      <c r="A1702" s="37"/>
    </row>
    <row r="1703" spans="1:1" s="28" customFormat="1">
      <c r="A1703" s="37"/>
    </row>
    <row r="1704" spans="1:1" s="28" customFormat="1">
      <c r="A1704" s="37"/>
    </row>
    <row r="1705" spans="1:1" s="28" customFormat="1">
      <c r="A1705" s="37"/>
    </row>
    <row r="1706" spans="1:1" s="28" customFormat="1">
      <c r="A1706" s="37"/>
    </row>
    <row r="1707" spans="1:1" s="28" customFormat="1">
      <c r="A1707" s="37"/>
    </row>
    <row r="1708" spans="1:1" s="28" customFormat="1">
      <c r="A1708" s="37"/>
    </row>
    <row r="1709" spans="1:1" s="28" customFormat="1">
      <c r="A1709" s="37"/>
    </row>
    <row r="1710" spans="1:1" s="28" customFormat="1">
      <c r="A1710" s="37"/>
    </row>
    <row r="1711" spans="1:1" s="28" customFormat="1">
      <c r="A1711" s="37"/>
    </row>
    <row r="1712" spans="1:1" s="28" customFormat="1">
      <c r="A1712" s="37"/>
    </row>
    <row r="1713" spans="1:1" s="28" customFormat="1">
      <c r="A1713" s="37"/>
    </row>
    <row r="1714" spans="1:1" s="28" customFormat="1">
      <c r="A1714" s="37"/>
    </row>
    <row r="1715" spans="1:1" s="28" customFormat="1">
      <c r="A1715" s="37"/>
    </row>
    <row r="1716" spans="1:1" s="28" customFormat="1">
      <c r="A1716" s="37"/>
    </row>
    <row r="1717" spans="1:1" s="28" customFormat="1">
      <c r="A1717" s="37"/>
    </row>
    <row r="1718" spans="1:1" s="28" customFormat="1">
      <c r="A1718" s="37"/>
    </row>
    <row r="1719" spans="1:1" s="28" customFormat="1">
      <c r="A1719" s="37"/>
    </row>
    <row r="1720" spans="1:1" s="28" customFormat="1">
      <c r="A1720" s="37"/>
    </row>
    <row r="1721" spans="1:1" s="28" customFormat="1">
      <c r="A1721" s="37"/>
    </row>
    <row r="1722" spans="1:1" s="28" customFormat="1">
      <c r="A1722" s="37"/>
    </row>
    <row r="1723" spans="1:1" s="28" customFormat="1">
      <c r="A1723" s="37"/>
    </row>
    <row r="1724" spans="1:1" s="28" customFormat="1">
      <c r="A1724" s="37"/>
    </row>
    <row r="1725" spans="1:1" s="28" customFormat="1">
      <c r="A1725" s="37"/>
    </row>
    <row r="1726" spans="1:1" s="28" customFormat="1">
      <c r="A1726" s="37"/>
    </row>
    <row r="1727" spans="1:1" s="28" customFormat="1">
      <c r="A1727" s="37"/>
    </row>
    <row r="1728" spans="1:1" s="28" customFormat="1">
      <c r="A1728" s="37"/>
    </row>
    <row r="1729" spans="1:1" s="28" customFormat="1">
      <c r="A1729" s="37"/>
    </row>
    <row r="1730" spans="1:1" s="28" customFormat="1">
      <c r="A1730" s="37"/>
    </row>
    <row r="1731" spans="1:1" s="28" customFormat="1">
      <c r="A1731" s="37"/>
    </row>
    <row r="1732" spans="1:1" s="28" customFormat="1">
      <c r="A1732" s="37"/>
    </row>
    <row r="1733" spans="1:1" s="28" customFormat="1">
      <c r="A1733" s="37"/>
    </row>
    <row r="1734" spans="1:1" s="28" customFormat="1">
      <c r="A1734" s="37"/>
    </row>
    <row r="1735" spans="1:1" s="28" customFormat="1">
      <c r="A1735" s="37"/>
    </row>
    <row r="1736" spans="1:1" s="28" customFormat="1">
      <c r="A1736" s="37"/>
    </row>
    <row r="1737" spans="1:1" s="28" customFormat="1">
      <c r="A1737" s="37"/>
    </row>
    <row r="1738" spans="1:1" s="28" customFormat="1">
      <c r="A1738" s="37"/>
    </row>
    <row r="1739" spans="1:1" s="28" customFormat="1">
      <c r="A1739" s="37"/>
    </row>
    <row r="1740" spans="1:1" s="28" customFormat="1">
      <c r="A1740" s="37"/>
    </row>
    <row r="1741" spans="1:1" s="28" customFormat="1">
      <c r="A1741" s="37"/>
    </row>
    <row r="1742" spans="1:1" s="28" customFormat="1">
      <c r="A1742" s="37"/>
    </row>
    <row r="1743" spans="1:1" s="28" customFormat="1">
      <c r="A1743" s="37"/>
    </row>
    <row r="1744" spans="1:1" s="28" customFormat="1">
      <c r="A1744" s="37"/>
    </row>
    <row r="1745" spans="1:1" s="28" customFormat="1">
      <c r="A1745" s="37"/>
    </row>
    <row r="1746" spans="1:1" s="28" customFormat="1">
      <c r="A1746" s="37"/>
    </row>
    <row r="1747" spans="1:1" s="28" customFormat="1">
      <c r="A1747" s="37"/>
    </row>
    <row r="1748" spans="1:1" s="28" customFormat="1">
      <c r="A1748" s="37"/>
    </row>
    <row r="1749" spans="1:1" s="28" customFormat="1">
      <c r="A1749" s="37"/>
    </row>
    <row r="1750" spans="1:1" s="28" customFormat="1">
      <c r="A1750" s="37"/>
    </row>
    <row r="1751" spans="1:1" s="28" customFormat="1">
      <c r="A1751" s="37"/>
    </row>
    <row r="1752" spans="1:1" s="28" customFormat="1">
      <c r="A1752" s="37"/>
    </row>
    <row r="1753" spans="1:1" s="28" customFormat="1">
      <c r="A1753" s="37"/>
    </row>
    <row r="1754" spans="1:1" s="28" customFormat="1">
      <c r="A1754" s="37"/>
    </row>
    <row r="1755" spans="1:1" s="28" customFormat="1">
      <c r="A1755" s="37"/>
    </row>
    <row r="1756" spans="1:1" s="28" customFormat="1">
      <c r="A1756" s="37"/>
    </row>
    <row r="1757" spans="1:1" s="28" customFormat="1">
      <c r="A1757" s="37"/>
    </row>
    <row r="1758" spans="1:1" s="28" customFormat="1">
      <c r="A1758" s="37"/>
    </row>
    <row r="1759" spans="1:1" s="28" customFormat="1">
      <c r="A1759" s="37"/>
    </row>
    <row r="1760" spans="1:1" s="28" customFormat="1">
      <c r="A1760" s="37"/>
    </row>
    <row r="1761" spans="1:1" s="28" customFormat="1">
      <c r="A1761" s="37"/>
    </row>
    <row r="1762" spans="1:1" s="28" customFormat="1">
      <c r="A1762" s="37"/>
    </row>
    <row r="1763" spans="1:1" s="28" customFormat="1">
      <c r="A1763" s="37"/>
    </row>
    <row r="1764" spans="1:1" s="28" customFormat="1">
      <c r="A1764" s="37"/>
    </row>
    <row r="1765" spans="1:1" s="28" customFormat="1">
      <c r="A1765" s="37"/>
    </row>
    <row r="1766" spans="1:1" s="28" customFormat="1">
      <c r="A1766" s="37"/>
    </row>
    <row r="1767" spans="1:1" s="28" customFormat="1">
      <c r="A1767" s="37"/>
    </row>
    <row r="1768" spans="1:1" s="28" customFormat="1">
      <c r="A1768" s="37"/>
    </row>
    <row r="1769" spans="1:1" s="28" customFormat="1">
      <c r="A1769" s="37"/>
    </row>
    <row r="1770" spans="1:1" s="28" customFormat="1">
      <c r="A1770" s="37"/>
    </row>
    <row r="1771" spans="1:1" s="28" customFormat="1">
      <c r="A1771" s="37"/>
    </row>
    <row r="1772" spans="1:1" s="28" customFormat="1">
      <c r="A1772" s="37"/>
    </row>
    <row r="1773" spans="1:1" s="28" customFormat="1">
      <c r="A1773" s="37"/>
    </row>
    <row r="1774" spans="1:1" s="28" customFormat="1">
      <c r="A1774" s="37"/>
    </row>
    <row r="1775" spans="1:1" s="28" customFormat="1">
      <c r="A1775" s="37"/>
    </row>
    <row r="1776" spans="1:1" s="28" customFormat="1">
      <c r="A1776" s="37"/>
    </row>
    <row r="1777" spans="1:1" s="28" customFormat="1">
      <c r="A1777" s="37"/>
    </row>
    <row r="1778" spans="1:1" s="28" customFormat="1">
      <c r="A1778" s="37"/>
    </row>
    <row r="1779" spans="1:1" s="28" customFormat="1">
      <c r="A1779" s="37"/>
    </row>
    <row r="1780" spans="1:1" s="28" customFormat="1">
      <c r="A1780" s="37"/>
    </row>
    <row r="1781" spans="1:1" s="28" customFormat="1">
      <c r="A1781" s="37"/>
    </row>
    <row r="1782" spans="1:1" s="28" customFormat="1">
      <c r="A1782" s="37"/>
    </row>
    <row r="1783" spans="1:1" s="28" customFormat="1">
      <c r="A1783" s="37"/>
    </row>
    <row r="1784" spans="1:1" s="28" customFormat="1">
      <c r="A1784" s="37"/>
    </row>
    <row r="1785" spans="1:1" s="28" customFormat="1">
      <c r="A1785" s="37"/>
    </row>
    <row r="1786" spans="1:1" s="28" customFormat="1">
      <c r="A1786" s="37"/>
    </row>
    <row r="1787" spans="1:1" s="28" customFormat="1">
      <c r="A1787" s="37"/>
    </row>
    <row r="1788" spans="1:1" s="28" customFormat="1">
      <c r="A1788" s="37"/>
    </row>
    <row r="1789" spans="1:1" s="28" customFormat="1">
      <c r="A1789" s="37"/>
    </row>
    <row r="1790" spans="1:1" s="28" customFormat="1">
      <c r="A1790" s="37"/>
    </row>
    <row r="1791" spans="1:1" s="28" customFormat="1">
      <c r="A1791" s="37"/>
    </row>
    <row r="1792" spans="1:1" s="28" customFormat="1">
      <c r="A1792" s="37"/>
    </row>
    <row r="1793" spans="1:1" s="28" customFormat="1">
      <c r="A1793" s="37"/>
    </row>
    <row r="1794" spans="1:1" s="28" customFormat="1">
      <c r="A1794" s="37"/>
    </row>
    <row r="1795" spans="1:1" s="28" customFormat="1">
      <c r="A1795" s="37"/>
    </row>
    <row r="1796" spans="1:1" s="28" customFormat="1">
      <c r="A1796" s="37"/>
    </row>
    <row r="1797" spans="1:1" s="28" customFormat="1">
      <c r="A1797" s="37"/>
    </row>
    <row r="1798" spans="1:1" s="28" customFormat="1">
      <c r="A1798" s="37"/>
    </row>
    <row r="1799" spans="1:1" s="28" customFormat="1">
      <c r="A1799" s="37"/>
    </row>
    <row r="1800" spans="1:1" s="28" customFormat="1">
      <c r="A1800" s="37"/>
    </row>
    <row r="1801" spans="1:1" s="28" customFormat="1">
      <c r="A1801" s="37"/>
    </row>
    <row r="1802" spans="1:1" s="28" customFormat="1">
      <c r="A1802" s="37"/>
    </row>
    <row r="1803" spans="1:1" s="28" customFormat="1">
      <c r="A1803" s="37"/>
    </row>
    <row r="1804" spans="1:1" s="28" customFormat="1">
      <c r="A1804" s="37"/>
    </row>
    <row r="1805" spans="1:1" s="28" customFormat="1">
      <c r="A1805" s="37"/>
    </row>
    <row r="1806" spans="1:1" s="28" customFormat="1">
      <c r="A1806" s="37"/>
    </row>
    <row r="1807" spans="1:1" s="28" customFormat="1">
      <c r="A1807" s="37"/>
    </row>
    <row r="1808" spans="1:1" s="28" customFormat="1">
      <c r="A1808" s="37"/>
    </row>
    <row r="1809" spans="1:1" s="28" customFormat="1">
      <c r="A1809" s="37"/>
    </row>
    <row r="1810" spans="1:1" s="28" customFormat="1">
      <c r="A1810" s="37"/>
    </row>
    <row r="1811" spans="1:1" s="28" customFormat="1">
      <c r="A1811" s="37"/>
    </row>
    <row r="1812" spans="1:1" s="28" customFormat="1">
      <c r="A1812" s="37"/>
    </row>
    <row r="1813" spans="1:1" s="28" customFormat="1">
      <c r="A1813" s="37"/>
    </row>
    <row r="1814" spans="1:1" s="28" customFormat="1">
      <c r="A1814" s="37"/>
    </row>
    <row r="1815" spans="1:1" s="28" customFormat="1">
      <c r="A1815" s="37"/>
    </row>
    <row r="1816" spans="1:1" s="28" customFormat="1">
      <c r="A1816" s="37"/>
    </row>
    <row r="1817" spans="1:1" s="28" customFormat="1">
      <c r="A1817" s="37"/>
    </row>
    <row r="1818" spans="1:1" s="28" customFormat="1">
      <c r="A1818" s="37"/>
    </row>
    <row r="1819" spans="1:1" s="28" customFormat="1">
      <c r="A1819" s="37"/>
    </row>
    <row r="1820" spans="1:1" s="28" customFormat="1">
      <c r="A1820" s="37"/>
    </row>
    <row r="1821" spans="1:1" s="28" customFormat="1">
      <c r="A1821" s="37"/>
    </row>
    <row r="1822" spans="1:1" s="28" customFormat="1">
      <c r="A1822" s="37"/>
    </row>
    <row r="1823" spans="1:1" s="28" customFormat="1">
      <c r="A1823" s="37"/>
    </row>
    <row r="1824" spans="1:1" s="28" customFormat="1">
      <c r="A1824" s="37"/>
    </row>
    <row r="1825" spans="1:1" s="28" customFormat="1">
      <c r="A1825" s="37"/>
    </row>
    <row r="1826" spans="1:1" s="28" customFormat="1">
      <c r="A1826" s="37"/>
    </row>
    <row r="1827" spans="1:1" s="28" customFormat="1">
      <c r="A1827" s="37"/>
    </row>
    <row r="1828" spans="1:1" s="28" customFormat="1">
      <c r="A1828" s="37"/>
    </row>
    <row r="1829" spans="1:1" s="28" customFormat="1">
      <c r="A1829" s="37"/>
    </row>
    <row r="1830" spans="1:1" s="28" customFormat="1">
      <c r="A1830" s="37"/>
    </row>
    <row r="1831" spans="1:1" s="28" customFormat="1">
      <c r="A1831" s="37"/>
    </row>
    <row r="1832" spans="1:1" s="28" customFormat="1">
      <c r="A1832" s="37"/>
    </row>
    <row r="1833" spans="1:1" s="28" customFormat="1">
      <c r="A1833" s="37"/>
    </row>
    <row r="1834" spans="1:1" s="28" customFormat="1">
      <c r="A1834" s="37"/>
    </row>
    <row r="1835" spans="1:1" s="28" customFormat="1">
      <c r="A1835" s="37"/>
    </row>
    <row r="1836" spans="1:1" s="28" customFormat="1">
      <c r="A1836" s="37"/>
    </row>
    <row r="1837" spans="1:1" s="28" customFormat="1">
      <c r="A1837" s="37"/>
    </row>
    <row r="1838" spans="1:1" s="28" customFormat="1">
      <c r="A1838" s="37"/>
    </row>
    <row r="1839" spans="1:1" s="28" customFormat="1">
      <c r="A1839" s="37"/>
    </row>
    <row r="1840" spans="1:1" s="28" customFormat="1">
      <c r="A1840" s="37"/>
    </row>
    <row r="1841" spans="1:1" s="28" customFormat="1">
      <c r="A1841" s="37"/>
    </row>
    <row r="1842" spans="1:1" s="28" customFormat="1">
      <c r="A1842" s="37"/>
    </row>
    <row r="1843" spans="1:1" s="28" customFormat="1">
      <c r="A1843" s="37"/>
    </row>
    <row r="1844" spans="1:1" s="28" customFormat="1">
      <c r="A1844" s="37"/>
    </row>
    <row r="1845" spans="1:1" s="28" customFormat="1">
      <c r="A1845" s="37"/>
    </row>
    <row r="1846" spans="1:1" s="28" customFormat="1">
      <c r="A1846" s="37"/>
    </row>
    <row r="1847" spans="1:1" s="28" customFormat="1">
      <c r="A1847" s="37"/>
    </row>
    <row r="1848" spans="1:1" s="28" customFormat="1">
      <c r="A1848" s="37"/>
    </row>
    <row r="1849" spans="1:1" s="28" customFormat="1">
      <c r="A1849" s="37"/>
    </row>
    <row r="1850" spans="1:1" s="28" customFormat="1">
      <c r="A1850" s="37"/>
    </row>
    <row r="1851" spans="1:1" s="28" customFormat="1">
      <c r="A1851" s="37"/>
    </row>
    <row r="1852" spans="1:1" s="28" customFormat="1">
      <c r="A1852" s="37"/>
    </row>
    <row r="1853" spans="1:1" s="28" customFormat="1">
      <c r="A1853" s="37"/>
    </row>
    <row r="1854" spans="1:1" s="28" customFormat="1">
      <c r="A1854" s="37"/>
    </row>
    <row r="1855" spans="1:1" s="28" customFormat="1">
      <c r="A1855" s="37"/>
    </row>
    <row r="1856" spans="1:1" s="28" customFormat="1">
      <c r="A1856" s="37"/>
    </row>
    <row r="1857" spans="1:1" s="28" customFormat="1">
      <c r="A1857" s="37"/>
    </row>
    <row r="1858" spans="1:1" s="28" customFormat="1">
      <c r="A1858" s="37"/>
    </row>
    <row r="1859" spans="1:1" s="28" customFormat="1">
      <c r="A1859" s="37"/>
    </row>
    <row r="1860" spans="1:1" s="28" customFormat="1">
      <c r="A1860" s="37"/>
    </row>
    <row r="1861" spans="1:1" s="28" customFormat="1">
      <c r="A1861" s="37"/>
    </row>
    <row r="1862" spans="1:1" s="28" customFormat="1">
      <c r="A1862" s="37"/>
    </row>
    <row r="1863" spans="1:1" s="28" customFormat="1">
      <c r="A1863" s="37"/>
    </row>
    <row r="1864" spans="1:1" s="28" customFormat="1">
      <c r="A1864" s="37"/>
    </row>
    <row r="1865" spans="1:1" s="28" customFormat="1">
      <c r="A1865" s="37"/>
    </row>
    <row r="1866" spans="1:1" s="28" customFormat="1">
      <c r="A1866" s="37"/>
    </row>
    <row r="1867" spans="1:1" s="28" customFormat="1">
      <c r="A1867" s="37"/>
    </row>
    <row r="1868" spans="1:1" s="28" customFormat="1">
      <c r="A1868" s="37"/>
    </row>
    <row r="1869" spans="1:1" s="28" customFormat="1">
      <c r="A1869" s="37"/>
    </row>
    <row r="1870" spans="1:1" s="28" customFormat="1">
      <c r="A1870" s="37"/>
    </row>
    <row r="1871" spans="1:1" s="28" customFormat="1">
      <c r="A1871" s="37"/>
    </row>
    <row r="1872" spans="1:1" s="28" customFormat="1">
      <c r="A1872" s="37"/>
    </row>
    <row r="1873" spans="1:1" s="28" customFormat="1">
      <c r="A1873" s="37"/>
    </row>
    <row r="1874" spans="1:1" s="28" customFormat="1">
      <c r="A1874" s="37"/>
    </row>
    <row r="1875" spans="1:1" s="28" customFormat="1">
      <c r="A1875" s="37"/>
    </row>
    <row r="1876" spans="1:1" s="28" customFormat="1">
      <c r="A1876" s="37"/>
    </row>
    <row r="1877" spans="1:1" s="28" customFormat="1">
      <c r="A1877" s="37"/>
    </row>
    <row r="1878" spans="1:1" s="28" customFormat="1">
      <c r="A1878" s="37"/>
    </row>
    <row r="1879" spans="1:1" s="28" customFormat="1">
      <c r="A1879" s="37"/>
    </row>
    <row r="1880" spans="1:1" s="28" customFormat="1">
      <c r="A1880" s="37"/>
    </row>
    <row r="1881" spans="1:1" s="28" customFormat="1">
      <c r="A1881" s="37"/>
    </row>
    <row r="1882" spans="1:1" s="28" customFormat="1">
      <c r="A1882" s="37"/>
    </row>
    <row r="1883" spans="1:1" s="28" customFormat="1">
      <c r="A1883" s="37"/>
    </row>
    <row r="1884" spans="1:1" s="28" customFormat="1">
      <c r="A1884" s="37"/>
    </row>
    <row r="1885" spans="1:1" s="28" customFormat="1">
      <c r="A1885" s="37"/>
    </row>
    <row r="1886" spans="1:1" s="28" customFormat="1">
      <c r="A1886" s="37"/>
    </row>
    <row r="1887" spans="1:1" s="28" customFormat="1">
      <c r="A1887" s="37"/>
    </row>
    <row r="1888" spans="1:1" s="28" customFormat="1">
      <c r="A1888" s="37"/>
    </row>
    <row r="1889" spans="1:1" s="28" customFormat="1">
      <c r="A1889" s="37"/>
    </row>
    <row r="1890" spans="1:1" s="28" customFormat="1">
      <c r="A1890" s="37"/>
    </row>
    <row r="1891" spans="1:1" s="28" customFormat="1">
      <c r="A1891" s="37"/>
    </row>
    <row r="1892" spans="1:1" s="28" customFormat="1">
      <c r="A1892" s="37"/>
    </row>
    <row r="1893" spans="1:1" s="28" customFormat="1">
      <c r="A1893" s="37"/>
    </row>
    <row r="1894" spans="1:1" s="28" customFormat="1">
      <c r="A1894" s="37"/>
    </row>
    <row r="1895" spans="1:1" s="28" customFormat="1">
      <c r="A1895" s="37"/>
    </row>
    <row r="1896" spans="1:1" s="28" customFormat="1">
      <c r="A1896" s="37"/>
    </row>
    <row r="1897" spans="1:1" s="28" customFormat="1">
      <c r="A1897" s="37"/>
    </row>
    <row r="1898" spans="1:1" s="28" customFormat="1">
      <c r="A1898" s="37"/>
    </row>
    <row r="1899" spans="1:1" s="28" customFormat="1">
      <c r="A1899" s="37"/>
    </row>
    <row r="1900" spans="1:1" s="28" customFormat="1">
      <c r="A1900" s="37"/>
    </row>
    <row r="1901" spans="1:1" s="28" customFormat="1">
      <c r="A1901" s="37"/>
    </row>
    <row r="1902" spans="1:1" s="28" customFormat="1">
      <c r="A1902" s="37"/>
    </row>
    <row r="1903" spans="1:1" s="28" customFormat="1">
      <c r="A1903" s="37"/>
    </row>
    <row r="1904" spans="1:1" s="28" customFormat="1">
      <c r="A1904" s="37"/>
    </row>
    <row r="1905" spans="1:1" s="28" customFormat="1">
      <c r="A1905" s="37"/>
    </row>
    <row r="1906" spans="1:1" s="28" customFormat="1">
      <c r="A1906" s="37"/>
    </row>
    <row r="1907" spans="1:1" s="28" customFormat="1">
      <c r="A1907" s="37"/>
    </row>
    <row r="1908" spans="1:1" s="28" customFormat="1">
      <c r="A1908" s="37"/>
    </row>
    <row r="1909" spans="1:1" s="28" customFormat="1">
      <c r="A1909" s="37"/>
    </row>
    <row r="1910" spans="1:1" s="28" customFormat="1">
      <c r="A1910" s="37"/>
    </row>
    <row r="1911" spans="1:1" s="28" customFormat="1">
      <c r="A1911" s="37"/>
    </row>
    <row r="1912" spans="1:1" s="28" customFormat="1">
      <c r="A1912" s="37"/>
    </row>
    <row r="1913" spans="1:1" s="28" customFormat="1">
      <c r="A1913" s="37"/>
    </row>
    <row r="1914" spans="1:1" s="28" customFormat="1">
      <c r="A1914" s="37"/>
    </row>
    <row r="1915" spans="1:1" s="28" customFormat="1">
      <c r="A1915" s="37"/>
    </row>
    <row r="1916" spans="1:1" s="28" customFormat="1">
      <c r="A1916" s="37"/>
    </row>
    <row r="1917" spans="1:1" s="28" customFormat="1">
      <c r="A1917" s="37"/>
    </row>
    <row r="1918" spans="1:1" s="28" customFormat="1">
      <c r="A1918" s="37"/>
    </row>
    <row r="1919" spans="1:1" s="28" customFormat="1">
      <c r="A1919" s="37"/>
    </row>
    <row r="1920" spans="1:1" s="28" customFormat="1">
      <c r="A1920" s="37"/>
    </row>
    <row r="1921" spans="1:1" s="28" customFormat="1">
      <c r="A1921" s="37"/>
    </row>
    <row r="1922" spans="1:1" s="28" customFormat="1">
      <c r="A1922" s="37"/>
    </row>
    <row r="1923" spans="1:1" s="28" customFormat="1">
      <c r="A1923" s="37"/>
    </row>
    <row r="1924" spans="1:1" s="28" customFormat="1">
      <c r="A1924" s="37"/>
    </row>
    <row r="1925" spans="1:1" s="28" customFormat="1">
      <c r="A1925" s="37"/>
    </row>
    <row r="1926" spans="1:1" s="28" customFormat="1">
      <c r="A1926" s="37"/>
    </row>
    <row r="1927" spans="1:1" s="28" customFormat="1">
      <c r="A1927" s="37"/>
    </row>
    <row r="1928" spans="1:1" s="28" customFormat="1">
      <c r="A1928" s="37"/>
    </row>
    <row r="1929" spans="1:1" s="28" customFormat="1">
      <c r="A1929" s="37"/>
    </row>
    <row r="1930" spans="1:1" s="28" customFormat="1">
      <c r="A1930" s="37"/>
    </row>
    <row r="1931" spans="1:1" s="28" customFormat="1">
      <c r="A1931" s="37"/>
    </row>
    <row r="1932" spans="1:1" s="28" customFormat="1">
      <c r="A1932" s="37"/>
    </row>
    <row r="1933" spans="1:1" s="28" customFormat="1">
      <c r="A1933" s="37"/>
    </row>
    <row r="1934" spans="1:1" s="28" customFormat="1">
      <c r="A1934" s="37"/>
    </row>
    <row r="1935" spans="1:1" s="28" customFormat="1">
      <c r="A1935" s="37"/>
    </row>
    <row r="1936" spans="1:1" s="28" customFormat="1">
      <c r="A1936" s="37"/>
    </row>
    <row r="1937" spans="1:1" s="28" customFormat="1">
      <c r="A1937" s="37"/>
    </row>
    <row r="1938" spans="1:1" s="28" customFormat="1">
      <c r="A1938" s="37"/>
    </row>
    <row r="1939" spans="1:1" s="28" customFormat="1">
      <c r="A1939" s="37"/>
    </row>
    <row r="1940" spans="1:1" s="28" customFormat="1">
      <c r="A1940" s="37"/>
    </row>
    <row r="1941" spans="1:1" s="28" customFormat="1">
      <c r="A1941" s="37"/>
    </row>
    <row r="1942" spans="1:1" s="28" customFormat="1">
      <c r="A1942" s="37"/>
    </row>
    <row r="1943" spans="1:1" s="28" customFormat="1">
      <c r="A1943" s="37"/>
    </row>
    <row r="1944" spans="1:1" s="28" customFormat="1">
      <c r="A1944" s="37"/>
    </row>
    <row r="1945" spans="1:1" s="28" customFormat="1">
      <c r="A1945" s="37"/>
    </row>
    <row r="1946" spans="1:1" s="28" customFormat="1">
      <c r="A1946" s="37"/>
    </row>
    <row r="1947" spans="1:1" s="28" customFormat="1">
      <c r="A1947" s="37"/>
    </row>
    <row r="1948" spans="1:1" s="28" customFormat="1">
      <c r="A1948" s="37"/>
    </row>
    <row r="1949" spans="1:1" s="28" customFormat="1">
      <c r="A1949" s="37"/>
    </row>
    <row r="1950" spans="1:1" s="28" customFormat="1">
      <c r="A1950" s="37"/>
    </row>
    <row r="1951" spans="1:1" s="28" customFormat="1">
      <c r="A1951" s="37"/>
    </row>
    <row r="1952" spans="1:1" s="28" customFormat="1">
      <c r="A1952" s="37"/>
    </row>
    <row r="1953" spans="1:1" s="28" customFormat="1">
      <c r="A1953" s="37"/>
    </row>
    <row r="1954" spans="1:1" s="28" customFormat="1">
      <c r="A1954" s="37"/>
    </row>
    <row r="1955" spans="1:1" s="28" customFormat="1">
      <c r="A1955" s="37"/>
    </row>
    <row r="1956" spans="1:1" s="28" customFormat="1">
      <c r="A1956" s="37"/>
    </row>
    <row r="1957" spans="1:1" s="28" customFormat="1">
      <c r="A1957" s="37"/>
    </row>
    <row r="1958" spans="1:1" s="28" customFormat="1">
      <c r="A1958" s="37"/>
    </row>
    <row r="1959" spans="1:1" s="28" customFormat="1">
      <c r="A1959" s="37"/>
    </row>
    <row r="1960" spans="1:1" s="28" customFormat="1">
      <c r="A1960" s="37"/>
    </row>
    <row r="1961" spans="1:1" s="28" customFormat="1">
      <c r="A1961" s="37"/>
    </row>
    <row r="1962" spans="1:1" s="28" customFormat="1">
      <c r="A1962" s="37"/>
    </row>
    <row r="1963" spans="1:1" s="28" customFormat="1">
      <c r="A1963" s="37"/>
    </row>
    <row r="1964" spans="1:1" s="28" customFormat="1">
      <c r="A1964" s="37"/>
    </row>
    <row r="1965" spans="1:1" s="28" customFormat="1">
      <c r="A1965" s="37"/>
    </row>
    <row r="1966" spans="1:1" s="28" customFormat="1">
      <c r="A1966" s="37"/>
    </row>
    <row r="1967" spans="1:1" s="28" customFormat="1">
      <c r="A1967" s="37"/>
    </row>
    <row r="1968" spans="1:1" s="28" customFormat="1">
      <c r="A1968" s="37"/>
    </row>
    <row r="1969" spans="1:1" s="28" customFormat="1">
      <c r="A1969" s="37"/>
    </row>
    <row r="1970" spans="1:1" s="28" customFormat="1">
      <c r="A1970" s="37"/>
    </row>
    <row r="1971" spans="1:1" s="28" customFormat="1">
      <c r="A1971" s="37"/>
    </row>
    <row r="1972" spans="1:1" s="28" customFormat="1">
      <c r="A1972" s="37"/>
    </row>
    <row r="1973" spans="1:1" s="28" customFormat="1">
      <c r="A1973" s="37"/>
    </row>
    <row r="1974" spans="1:1" s="28" customFormat="1">
      <c r="A1974" s="37"/>
    </row>
    <row r="1975" spans="1:1" s="28" customFormat="1">
      <c r="A1975" s="37"/>
    </row>
    <row r="1976" spans="1:1" s="28" customFormat="1">
      <c r="A1976" s="37"/>
    </row>
    <row r="1977" spans="1:1" s="28" customFormat="1">
      <c r="A1977" s="37"/>
    </row>
    <row r="1978" spans="1:1" s="28" customFormat="1">
      <c r="A1978" s="37"/>
    </row>
    <row r="1979" spans="1:1" s="28" customFormat="1">
      <c r="A1979" s="37"/>
    </row>
    <row r="1980" spans="1:1" s="28" customFormat="1">
      <c r="A1980" s="37"/>
    </row>
    <row r="1981" spans="1:1" s="28" customFormat="1">
      <c r="A1981" s="37"/>
    </row>
    <row r="1982" spans="1:1" s="28" customFormat="1">
      <c r="A1982" s="37"/>
    </row>
    <row r="1983" spans="1:1" s="28" customFormat="1">
      <c r="A1983" s="37"/>
    </row>
    <row r="1984" spans="1:1" s="28" customFormat="1">
      <c r="A1984" s="37"/>
    </row>
    <row r="1985" spans="1:1" s="28" customFormat="1">
      <c r="A1985" s="37"/>
    </row>
    <row r="1986" spans="1:1" s="28" customFormat="1">
      <c r="A1986" s="37"/>
    </row>
    <row r="1987" spans="1:1" s="28" customFormat="1">
      <c r="A1987" s="37"/>
    </row>
    <row r="1988" spans="1:1" s="28" customFormat="1">
      <c r="A1988" s="37"/>
    </row>
    <row r="1989" spans="1:1" s="28" customFormat="1">
      <c r="A1989" s="37"/>
    </row>
    <row r="1990" spans="1:1" s="28" customFormat="1">
      <c r="A1990" s="37"/>
    </row>
    <row r="1991" spans="1:1" s="28" customFormat="1">
      <c r="A1991" s="37"/>
    </row>
    <row r="1992" spans="1:1" s="28" customFormat="1">
      <c r="A1992" s="37"/>
    </row>
    <row r="1993" spans="1:1" s="28" customFormat="1">
      <c r="A1993" s="37"/>
    </row>
    <row r="1994" spans="1:1" s="28" customFormat="1">
      <c r="A1994" s="37"/>
    </row>
    <row r="1995" spans="1:1" s="28" customFormat="1">
      <c r="A1995" s="37"/>
    </row>
    <row r="1996" spans="1:1" s="28" customFormat="1">
      <c r="A1996" s="37"/>
    </row>
    <row r="1997" spans="1:1" s="28" customFormat="1">
      <c r="A1997" s="37"/>
    </row>
    <row r="1998" spans="1:1" s="28" customFormat="1">
      <c r="A1998" s="37"/>
    </row>
    <row r="1999" spans="1:1" s="28" customFormat="1">
      <c r="A1999" s="37"/>
    </row>
    <row r="2000" spans="1:1" s="28" customFormat="1">
      <c r="A2000" s="37"/>
    </row>
    <row r="2001" spans="1:1" s="28" customFormat="1">
      <c r="A2001" s="37"/>
    </row>
    <row r="2002" spans="1:1" s="28" customFormat="1">
      <c r="A2002" s="37"/>
    </row>
    <row r="2003" spans="1:1" s="28" customFormat="1">
      <c r="A2003" s="37"/>
    </row>
    <row r="2004" spans="1:1" s="28" customFormat="1">
      <c r="A2004" s="37"/>
    </row>
    <row r="2005" spans="1:1" s="28" customFormat="1">
      <c r="A2005" s="37"/>
    </row>
    <row r="2006" spans="1:1" s="28" customFormat="1">
      <c r="A2006" s="37"/>
    </row>
    <row r="2007" spans="1:1" s="28" customFormat="1">
      <c r="A2007" s="37"/>
    </row>
    <row r="2008" spans="1:1" s="28" customFormat="1">
      <c r="A2008" s="37"/>
    </row>
    <row r="2009" spans="1:1" s="28" customFormat="1">
      <c r="A2009" s="37"/>
    </row>
    <row r="2010" spans="1:1" s="28" customFormat="1">
      <c r="A2010" s="37"/>
    </row>
    <row r="2011" spans="1:1" s="28" customFormat="1">
      <c r="A2011" s="37"/>
    </row>
    <row r="2012" spans="1:1" s="28" customFormat="1">
      <c r="A2012" s="37"/>
    </row>
    <row r="2013" spans="1:1" s="28" customFormat="1">
      <c r="A2013" s="37"/>
    </row>
    <row r="2014" spans="1:1" s="28" customFormat="1">
      <c r="A2014" s="37"/>
    </row>
    <row r="2015" spans="1:1" s="28" customFormat="1">
      <c r="A2015" s="37"/>
    </row>
    <row r="2016" spans="1:1" s="28" customFormat="1">
      <c r="A2016" s="37"/>
    </row>
    <row r="2017" spans="1:1" s="28" customFormat="1">
      <c r="A2017" s="37"/>
    </row>
    <row r="2018" spans="1:1" s="28" customFormat="1">
      <c r="A2018" s="37"/>
    </row>
    <row r="2019" spans="1:1" s="28" customFormat="1">
      <c r="A2019" s="37"/>
    </row>
    <row r="2020" spans="1:1" s="28" customFormat="1">
      <c r="A2020" s="37"/>
    </row>
    <row r="2021" spans="1:1" s="28" customFormat="1">
      <c r="A2021" s="37"/>
    </row>
    <row r="2022" spans="1:1" s="28" customFormat="1">
      <c r="A2022" s="37"/>
    </row>
    <row r="2023" spans="1:1" s="28" customFormat="1">
      <c r="A2023" s="37"/>
    </row>
    <row r="2024" spans="1:1" s="28" customFormat="1">
      <c r="A2024" s="37"/>
    </row>
    <row r="2025" spans="1:1" s="28" customFormat="1">
      <c r="A2025" s="37"/>
    </row>
    <row r="2026" spans="1:1" s="28" customFormat="1">
      <c r="A2026" s="37"/>
    </row>
    <row r="2027" spans="1:1" s="28" customFormat="1">
      <c r="A2027" s="37"/>
    </row>
    <row r="2028" spans="1:1" s="28" customFormat="1">
      <c r="A2028" s="37"/>
    </row>
    <row r="2029" spans="1:1" s="28" customFormat="1">
      <c r="A2029" s="37"/>
    </row>
    <row r="2030" spans="1:1" s="28" customFormat="1">
      <c r="A2030" s="37"/>
    </row>
    <row r="2031" spans="1:1" s="28" customFormat="1">
      <c r="A2031" s="37"/>
    </row>
    <row r="2032" spans="1:1" s="28" customFormat="1">
      <c r="A2032" s="37"/>
    </row>
    <row r="2033" spans="1:1" s="28" customFormat="1">
      <c r="A2033" s="37"/>
    </row>
    <row r="2034" spans="1:1" s="28" customFormat="1">
      <c r="A2034" s="37"/>
    </row>
    <row r="2035" spans="1:1" s="28" customFormat="1">
      <c r="A2035" s="37"/>
    </row>
    <row r="2036" spans="1:1" s="28" customFormat="1">
      <c r="A2036" s="37"/>
    </row>
    <row r="2037" spans="1:1" s="28" customFormat="1">
      <c r="A2037" s="37"/>
    </row>
    <row r="2038" spans="1:1" s="28" customFormat="1">
      <c r="A2038" s="37"/>
    </row>
    <row r="2039" spans="1:1" s="28" customFormat="1">
      <c r="A2039" s="37"/>
    </row>
    <row r="2040" spans="1:1" s="28" customFormat="1">
      <c r="A2040" s="37"/>
    </row>
    <row r="2041" spans="1:1" s="28" customFormat="1">
      <c r="A2041" s="37"/>
    </row>
    <row r="2042" spans="1:1" s="28" customFormat="1">
      <c r="A2042" s="37"/>
    </row>
    <row r="2043" spans="1:1" s="28" customFormat="1">
      <c r="A2043" s="37"/>
    </row>
    <row r="2044" spans="1:1" s="28" customFormat="1">
      <c r="A2044" s="37"/>
    </row>
    <row r="2045" spans="1:1" s="28" customFormat="1">
      <c r="A2045" s="37"/>
    </row>
    <row r="2046" spans="1:1" s="28" customFormat="1">
      <c r="A2046" s="37"/>
    </row>
    <row r="2047" spans="1:1" s="28" customFormat="1">
      <c r="A2047" s="37"/>
    </row>
    <row r="2048" spans="1:1" s="28" customFormat="1">
      <c r="A2048" s="37"/>
    </row>
    <row r="2049" spans="1:1" s="28" customFormat="1">
      <c r="A2049" s="37"/>
    </row>
    <row r="2050" spans="1:1" s="28" customFormat="1">
      <c r="A2050" s="37"/>
    </row>
    <row r="2051" spans="1:1" s="28" customFormat="1">
      <c r="A2051" s="37"/>
    </row>
    <row r="2052" spans="1:1" s="28" customFormat="1">
      <c r="A2052" s="37"/>
    </row>
    <row r="2053" spans="1:1" s="28" customFormat="1">
      <c r="A2053" s="37"/>
    </row>
    <row r="2054" spans="1:1" s="28" customFormat="1">
      <c r="A2054" s="37"/>
    </row>
    <row r="2055" spans="1:1" s="28" customFormat="1">
      <c r="A2055" s="37"/>
    </row>
    <row r="2056" spans="1:1" s="28" customFormat="1">
      <c r="A2056" s="37"/>
    </row>
    <row r="2057" spans="1:1" s="28" customFormat="1">
      <c r="A2057" s="37"/>
    </row>
    <row r="2058" spans="1:1" s="28" customFormat="1">
      <c r="A2058" s="37"/>
    </row>
    <row r="2059" spans="1:1" s="28" customFormat="1">
      <c r="A2059" s="37"/>
    </row>
    <row r="2060" spans="1:1" s="28" customFormat="1">
      <c r="A2060" s="37"/>
    </row>
    <row r="2061" spans="1:1" s="28" customFormat="1">
      <c r="A2061" s="37"/>
    </row>
    <row r="2062" spans="1:1" s="28" customFormat="1">
      <c r="A2062" s="37"/>
    </row>
    <row r="2063" spans="1:1" s="28" customFormat="1">
      <c r="A2063" s="37"/>
    </row>
    <row r="2064" spans="1:1" s="28" customFormat="1">
      <c r="A2064" s="37"/>
    </row>
    <row r="2065" spans="1:1" s="28" customFormat="1">
      <c r="A2065" s="37"/>
    </row>
    <row r="2066" spans="1:1" s="28" customFormat="1">
      <c r="A2066" s="37"/>
    </row>
    <row r="2067" spans="1:1" s="28" customFormat="1">
      <c r="A2067" s="37"/>
    </row>
    <row r="2068" spans="1:1" s="28" customFormat="1">
      <c r="A2068" s="37"/>
    </row>
    <row r="2069" spans="1:1" s="28" customFormat="1">
      <c r="A2069" s="37"/>
    </row>
    <row r="2070" spans="1:1" s="28" customFormat="1">
      <c r="A2070" s="37"/>
    </row>
    <row r="2071" spans="1:1" s="28" customFormat="1">
      <c r="A2071" s="37"/>
    </row>
    <row r="2072" spans="1:1" s="28" customFormat="1">
      <c r="A2072" s="37"/>
    </row>
    <row r="2073" spans="1:1" s="28" customFormat="1">
      <c r="A2073" s="37"/>
    </row>
    <row r="2074" spans="1:1" s="28" customFormat="1">
      <c r="A2074" s="37"/>
    </row>
    <row r="2075" spans="1:1" s="28" customFormat="1">
      <c r="A2075" s="37"/>
    </row>
    <row r="2076" spans="1:1" s="28" customFormat="1">
      <c r="A2076" s="37"/>
    </row>
    <row r="2077" spans="1:1" s="28" customFormat="1">
      <c r="A2077" s="37"/>
    </row>
    <row r="2078" spans="1:1" s="28" customFormat="1">
      <c r="A2078" s="37"/>
    </row>
    <row r="2079" spans="1:1" s="28" customFormat="1">
      <c r="A2079" s="37"/>
    </row>
    <row r="2080" spans="1:1" s="28" customFormat="1">
      <c r="A2080" s="37"/>
    </row>
    <row r="2081" spans="1:1" s="28" customFormat="1">
      <c r="A2081" s="37"/>
    </row>
    <row r="2082" spans="1:1" s="28" customFormat="1">
      <c r="A2082" s="37"/>
    </row>
    <row r="2083" spans="1:1" s="28" customFormat="1">
      <c r="A2083" s="37"/>
    </row>
    <row r="2084" spans="1:1" s="28" customFormat="1">
      <c r="A2084" s="37"/>
    </row>
  </sheetData>
  <sheetProtection sheet="1" objects="1" scenarios="1" selectLockedCells="1"/>
  <mergeCells count="12">
    <mergeCell ref="G12:G13"/>
    <mergeCell ref="A1:C1"/>
    <mergeCell ref="C67:D67"/>
    <mergeCell ref="B73:B80"/>
    <mergeCell ref="C73:C80"/>
    <mergeCell ref="D73:D80"/>
    <mergeCell ref="E73:E80"/>
    <mergeCell ref="B83:B90"/>
    <mergeCell ref="C68:D68"/>
    <mergeCell ref="C69:D69"/>
    <mergeCell ref="C70:D70"/>
    <mergeCell ref="D16:E16"/>
  </mergeCells>
  <phoneticPr fontId="28" type="noConversion"/>
  <pageMargins left="0.78740157499999996" right="0.78740157499999996" top="0.984251969" bottom="0.984251969" header="0.4921259845" footer="0.4921259845"/>
  <pageSetup paperSize="9" orientation="portrait" horizontalDpi="4294967293" vertic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3780" r:id="rId4" name="Drop Down 4">
              <controlPr defaultSize="0" autoLine="0" autoPict="0">
                <anchor moveWithCells="1">
                  <from>
                    <xdr:col>0</xdr:col>
                    <xdr:colOff>523875</xdr:colOff>
                    <xdr:row>3</xdr:row>
                    <xdr:rowOff>66675</xdr:rowOff>
                  </from>
                  <to>
                    <xdr:col>1</xdr:col>
                    <xdr:colOff>1133475</xdr:colOff>
                    <xdr:row>3</xdr:row>
                    <xdr:rowOff>257175</xdr:rowOff>
                  </to>
                </anchor>
              </controlPr>
            </control>
          </mc:Choice>
        </mc:AlternateContent>
        <mc:AlternateContent xmlns:mc="http://schemas.openxmlformats.org/markup-compatibility/2006">
          <mc:Choice Requires="x14">
            <control shapeId="203781" r:id="rId5" name="Drop Down 5">
              <controlPr defaultSize="0" autoLine="0" autoPict="0">
                <anchor moveWithCells="1">
                  <from>
                    <xdr:col>0</xdr:col>
                    <xdr:colOff>504825</xdr:colOff>
                    <xdr:row>5</xdr:row>
                    <xdr:rowOff>66675</xdr:rowOff>
                  </from>
                  <to>
                    <xdr:col>1</xdr:col>
                    <xdr:colOff>1143000</xdr:colOff>
                    <xdr:row>5</xdr:row>
                    <xdr:rowOff>266700</xdr:rowOff>
                  </to>
                </anchor>
              </controlPr>
            </control>
          </mc:Choice>
        </mc:AlternateContent>
        <mc:AlternateContent xmlns:mc="http://schemas.openxmlformats.org/markup-compatibility/2006">
          <mc:Choice Requires="x14">
            <control shapeId="203782" r:id="rId6" name="Drop Down 6">
              <controlPr defaultSize="0" autoLine="0" autoPict="0">
                <anchor moveWithCells="1">
                  <from>
                    <xdr:col>0</xdr:col>
                    <xdr:colOff>504825</xdr:colOff>
                    <xdr:row>7</xdr:row>
                    <xdr:rowOff>76200</xdr:rowOff>
                  </from>
                  <to>
                    <xdr:col>1</xdr:col>
                    <xdr:colOff>1143000</xdr:colOff>
                    <xdr:row>7</xdr:row>
                    <xdr:rowOff>276225</xdr:rowOff>
                  </to>
                </anchor>
              </controlPr>
            </control>
          </mc:Choice>
        </mc:AlternateContent>
        <mc:AlternateContent xmlns:mc="http://schemas.openxmlformats.org/markup-compatibility/2006">
          <mc:Choice Requires="x14">
            <control shapeId="203783" r:id="rId7" name="Drop Down 7">
              <controlPr defaultSize="0" autoLine="0" autoPict="0">
                <anchor moveWithCells="1">
                  <from>
                    <xdr:col>2</xdr:col>
                    <xdr:colOff>9525</xdr:colOff>
                    <xdr:row>5</xdr:row>
                    <xdr:rowOff>104775</xdr:rowOff>
                  </from>
                  <to>
                    <xdr:col>3</xdr:col>
                    <xdr:colOff>457200</xdr:colOff>
                    <xdr:row>5</xdr:row>
                    <xdr:rowOff>304800</xdr:rowOff>
                  </to>
                </anchor>
              </controlPr>
            </control>
          </mc:Choice>
        </mc:AlternateContent>
        <mc:AlternateContent xmlns:mc="http://schemas.openxmlformats.org/markup-compatibility/2006">
          <mc:Choice Requires="x14">
            <control shapeId="203784" r:id="rId8" name="Drop Down 8">
              <controlPr defaultSize="0" autoLine="0" autoPict="0">
                <anchor moveWithCells="1">
                  <from>
                    <xdr:col>2</xdr:col>
                    <xdr:colOff>523875</xdr:colOff>
                    <xdr:row>7</xdr:row>
                    <xdr:rowOff>85725</xdr:rowOff>
                  </from>
                  <to>
                    <xdr:col>3</xdr:col>
                    <xdr:colOff>876300</xdr:colOff>
                    <xdr:row>7</xdr:row>
                    <xdr:rowOff>295275</xdr:rowOff>
                  </to>
                </anchor>
              </controlPr>
            </control>
          </mc:Choice>
        </mc:AlternateContent>
        <mc:AlternateContent xmlns:mc="http://schemas.openxmlformats.org/markup-compatibility/2006">
          <mc:Choice Requires="x14">
            <control shapeId="203785" r:id="rId9" name="Drop Down 9">
              <controlPr defaultSize="0" autoLine="0" autoPict="0">
                <anchor moveWithCells="1">
                  <from>
                    <xdr:col>2</xdr:col>
                    <xdr:colOff>190500</xdr:colOff>
                    <xdr:row>10</xdr:row>
                    <xdr:rowOff>104775</xdr:rowOff>
                  </from>
                  <to>
                    <xdr:col>3</xdr:col>
                    <xdr:colOff>1057275</xdr:colOff>
                    <xdr:row>10</xdr:row>
                    <xdr:rowOff>304800</xdr:rowOff>
                  </to>
                </anchor>
              </controlPr>
            </control>
          </mc:Choice>
        </mc:AlternateContent>
        <mc:AlternateContent xmlns:mc="http://schemas.openxmlformats.org/markup-compatibility/2006">
          <mc:Choice Requires="x14">
            <control shapeId="203786" r:id="rId10" name="Drop Down 10">
              <controlPr defaultSize="0" autoLine="0" autoPict="0">
                <anchor moveWithCells="1">
                  <from>
                    <xdr:col>4</xdr:col>
                    <xdr:colOff>66675</xdr:colOff>
                    <xdr:row>10</xdr:row>
                    <xdr:rowOff>104775</xdr:rowOff>
                  </from>
                  <to>
                    <xdr:col>5</xdr:col>
                    <xdr:colOff>1019175</xdr:colOff>
                    <xdr:row>10</xdr:row>
                    <xdr:rowOff>314325</xdr:rowOff>
                  </to>
                </anchor>
              </controlPr>
            </control>
          </mc:Choice>
        </mc:AlternateContent>
        <mc:AlternateContent xmlns:mc="http://schemas.openxmlformats.org/markup-compatibility/2006">
          <mc:Choice Requires="x14">
            <control shapeId="203787" r:id="rId11" name="Drop Down 11">
              <controlPr defaultSize="0" autoLine="0" autoPict="0">
                <anchor moveWithCells="1">
                  <from>
                    <xdr:col>4</xdr:col>
                    <xdr:colOff>66675</xdr:colOff>
                    <xdr:row>11</xdr:row>
                    <xdr:rowOff>257175</xdr:rowOff>
                  </from>
                  <to>
                    <xdr:col>5</xdr:col>
                    <xdr:colOff>1000125</xdr:colOff>
                    <xdr:row>12</xdr:row>
                    <xdr:rowOff>104775</xdr:rowOff>
                  </to>
                </anchor>
              </controlPr>
            </control>
          </mc:Choice>
        </mc:AlternateContent>
        <mc:AlternateContent xmlns:mc="http://schemas.openxmlformats.org/markup-compatibility/2006">
          <mc:Choice Requires="x14">
            <control shapeId="203788" r:id="rId12" name="Drop Down 12">
              <controlPr defaultSize="0" autoLine="0" autoPict="0">
                <anchor moveWithCells="1">
                  <from>
                    <xdr:col>0</xdr:col>
                    <xdr:colOff>523875</xdr:colOff>
                    <xdr:row>10</xdr:row>
                    <xdr:rowOff>104775</xdr:rowOff>
                  </from>
                  <to>
                    <xdr:col>1</xdr:col>
                    <xdr:colOff>1152525</xdr:colOff>
                    <xdr:row>10</xdr:row>
                    <xdr:rowOff>304800</xdr:rowOff>
                  </to>
                </anchor>
              </controlPr>
            </control>
          </mc:Choice>
        </mc:AlternateContent>
        <mc:AlternateContent xmlns:mc="http://schemas.openxmlformats.org/markup-compatibility/2006">
          <mc:Choice Requires="x14">
            <control shapeId="203789" r:id="rId13" name="Drop Down 13">
              <controlPr defaultSize="0" autoLine="0" autoPict="0">
                <anchor moveWithCells="1">
                  <from>
                    <xdr:col>3</xdr:col>
                    <xdr:colOff>28575</xdr:colOff>
                    <xdr:row>16</xdr:row>
                    <xdr:rowOff>123825</xdr:rowOff>
                  </from>
                  <to>
                    <xdr:col>3</xdr:col>
                    <xdr:colOff>523875</xdr:colOff>
                    <xdr:row>16</xdr:row>
                    <xdr:rowOff>333375</xdr:rowOff>
                  </to>
                </anchor>
              </controlPr>
            </control>
          </mc:Choice>
        </mc:AlternateContent>
        <mc:AlternateContent xmlns:mc="http://schemas.openxmlformats.org/markup-compatibility/2006">
          <mc:Choice Requires="x14">
            <control shapeId="203790" r:id="rId14" name="Drop Down 14">
              <controlPr defaultSize="0" autoLine="0" autoPict="0">
                <anchor moveWithCells="1">
                  <from>
                    <xdr:col>4</xdr:col>
                    <xdr:colOff>1181100</xdr:colOff>
                    <xdr:row>16</xdr:row>
                    <xdr:rowOff>104775</xdr:rowOff>
                  </from>
                  <to>
                    <xdr:col>5</xdr:col>
                    <xdr:colOff>409575</xdr:colOff>
                    <xdr:row>16</xdr:row>
                    <xdr:rowOff>304800</xdr:rowOff>
                  </to>
                </anchor>
              </controlPr>
            </control>
          </mc:Choice>
        </mc:AlternateContent>
        <mc:AlternateContent xmlns:mc="http://schemas.openxmlformats.org/markup-compatibility/2006">
          <mc:Choice Requires="x14">
            <control shapeId="203791" r:id="rId15" name="Drop Down 15">
              <controlPr defaultSize="0" autoLine="0" autoPict="0">
                <anchor moveWithCells="1">
                  <from>
                    <xdr:col>0</xdr:col>
                    <xdr:colOff>257175</xdr:colOff>
                    <xdr:row>19</xdr:row>
                    <xdr:rowOff>66675</xdr:rowOff>
                  </from>
                  <to>
                    <xdr:col>1</xdr:col>
                    <xdr:colOff>533400</xdr:colOff>
                    <xdr:row>19</xdr:row>
                    <xdr:rowOff>266700</xdr:rowOff>
                  </to>
                </anchor>
              </controlPr>
            </control>
          </mc:Choice>
        </mc:AlternateContent>
        <mc:AlternateContent xmlns:mc="http://schemas.openxmlformats.org/markup-compatibility/2006">
          <mc:Choice Requires="x14">
            <control shapeId="203792" r:id="rId16" name="Drop Down 16">
              <controlPr defaultSize="0" autoLine="0" autoPict="0">
                <anchor moveWithCells="1">
                  <from>
                    <xdr:col>0</xdr:col>
                    <xdr:colOff>257175</xdr:colOff>
                    <xdr:row>20</xdr:row>
                    <xdr:rowOff>66675</xdr:rowOff>
                  </from>
                  <to>
                    <xdr:col>1</xdr:col>
                    <xdr:colOff>533400</xdr:colOff>
                    <xdr:row>20</xdr:row>
                    <xdr:rowOff>266700</xdr:rowOff>
                  </to>
                </anchor>
              </controlPr>
            </control>
          </mc:Choice>
        </mc:AlternateContent>
        <mc:AlternateContent xmlns:mc="http://schemas.openxmlformats.org/markup-compatibility/2006">
          <mc:Choice Requires="x14">
            <control shapeId="203793" r:id="rId17" name="Drop Down 17">
              <controlPr defaultSize="0" autoLine="0" autoPict="0">
                <anchor moveWithCells="1">
                  <from>
                    <xdr:col>0</xdr:col>
                    <xdr:colOff>266700</xdr:colOff>
                    <xdr:row>21</xdr:row>
                    <xdr:rowOff>66675</xdr:rowOff>
                  </from>
                  <to>
                    <xdr:col>1</xdr:col>
                    <xdr:colOff>533400</xdr:colOff>
                    <xdr:row>21</xdr:row>
                    <xdr:rowOff>266700</xdr:rowOff>
                  </to>
                </anchor>
              </controlPr>
            </control>
          </mc:Choice>
        </mc:AlternateContent>
        <mc:AlternateContent xmlns:mc="http://schemas.openxmlformats.org/markup-compatibility/2006">
          <mc:Choice Requires="x14">
            <control shapeId="203794" r:id="rId18" name="Drop Down 18">
              <controlPr defaultSize="0" autoLine="0" autoPict="0">
                <anchor moveWithCells="1">
                  <from>
                    <xdr:col>2</xdr:col>
                    <xdr:colOff>66675</xdr:colOff>
                    <xdr:row>19</xdr:row>
                    <xdr:rowOff>85725</xdr:rowOff>
                  </from>
                  <to>
                    <xdr:col>2</xdr:col>
                    <xdr:colOff>1095375</xdr:colOff>
                    <xdr:row>19</xdr:row>
                    <xdr:rowOff>295275</xdr:rowOff>
                  </to>
                </anchor>
              </controlPr>
            </control>
          </mc:Choice>
        </mc:AlternateContent>
        <mc:AlternateContent xmlns:mc="http://schemas.openxmlformats.org/markup-compatibility/2006">
          <mc:Choice Requires="x14">
            <control shapeId="203795" r:id="rId19" name="Drop Down 19">
              <controlPr defaultSize="0" autoLine="0" autoPict="0">
                <anchor moveWithCells="1">
                  <from>
                    <xdr:col>2</xdr:col>
                    <xdr:colOff>66675</xdr:colOff>
                    <xdr:row>20</xdr:row>
                    <xdr:rowOff>85725</xdr:rowOff>
                  </from>
                  <to>
                    <xdr:col>2</xdr:col>
                    <xdr:colOff>1095375</xdr:colOff>
                    <xdr:row>20</xdr:row>
                    <xdr:rowOff>295275</xdr:rowOff>
                  </to>
                </anchor>
              </controlPr>
            </control>
          </mc:Choice>
        </mc:AlternateContent>
        <mc:AlternateContent xmlns:mc="http://schemas.openxmlformats.org/markup-compatibility/2006">
          <mc:Choice Requires="x14">
            <control shapeId="203796" r:id="rId20" name="Drop Down 20">
              <controlPr defaultSize="0" autoLine="0" autoPict="0">
                <anchor moveWithCells="1">
                  <from>
                    <xdr:col>2</xdr:col>
                    <xdr:colOff>66675</xdr:colOff>
                    <xdr:row>21</xdr:row>
                    <xdr:rowOff>85725</xdr:rowOff>
                  </from>
                  <to>
                    <xdr:col>2</xdr:col>
                    <xdr:colOff>1095375</xdr:colOff>
                    <xdr:row>21</xdr:row>
                    <xdr:rowOff>295275</xdr:rowOff>
                  </to>
                </anchor>
              </controlPr>
            </control>
          </mc:Choice>
        </mc:AlternateContent>
        <mc:AlternateContent xmlns:mc="http://schemas.openxmlformats.org/markup-compatibility/2006">
          <mc:Choice Requires="x14">
            <control shapeId="203797" r:id="rId21" name="Drop Down 21">
              <controlPr defaultSize="0" autoLine="0" autoPict="0">
                <anchor moveWithCells="1">
                  <from>
                    <xdr:col>3</xdr:col>
                    <xdr:colOff>28575</xdr:colOff>
                    <xdr:row>19</xdr:row>
                    <xdr:rowOff>104775</xdr:rowOff>
                  </from>
                  <to>
                    <xdr:col>3</xdr:col>
                    <xdr:colOff>485775</xdr:colOff>
                    <xdr:row>19</xdr:row>
                    <xdr:rowOff>295275</xdr:rowOff>
                  </to>
                </anchor>
              </controlPr>
            </control>
          </mc:Choice>
        </mc:AlternateContent>
        <mc:AlternateContent xmlns:mc="http://schemas.openxmlformats.org/markup-compatibility/2006">
          <mc:Choice Requires="x14">
            <control shapeId="203798" r:id="rId22" name="Drop Down 22">
              <controlPr defaultSize="0" autoLine="0" autoPict="0">
                <anchor moveWithCells="1">
                  <from>
                    <xdr:col>3</xdr:col>
                    <xdr:colOff>38100</xdr:colOff>
                    <xdr:row>20</xdr:row>
                    <xdr:rowOff>76200</xdr:rowOff>
                  </from>
                  <to>
                    <xdr:col>3</xdr:col>
                    <xdr:colOff>495300</xdr:colOff>
                    <xdr:row>20</xdr:row>
                    <xdr:rowOff>276225</xdr:rowOff>
                  </to>
                </anchor>
              </controlPr>
            </control>
          </mc:Choice>
        </mc:AlternateContent>
        <mc:AlternateContent xmlns:mc="http://schemas.openxmlformats.org/markup-compatibility/2006">
          <mc:Choice Requires="x14">
            <control shapeId="203799" r:id="rId23" name="Drop Down 23">
              <controlPr defaultSize="0" autoLine="0" autoPict="0">
                <anchor moveWithCells="1">
                  <from>
                    <xdr:col>3</xdr:col>
                    <xdr:colOff>47625</xdr:colOff>
                    <xdr:row>21</xdr:row>
                    <xdr:rowOff>85725</xdr:rowOff>
                  </from>
                  <to>
                    <xdr:col>3</xdr:col>
                    <xdr:colOff>504825</xdr:colOff>
                    <xdr:row>21</xdr:row>
                    <xdr:rowOff>295275</xdr:rowOff>
                  </to>
                </anchor>
              </controlPr>
            </control>
          </mc:Choice>
        </mc:AlternateContent>
        <mc:AlternateContent xmlns:mc="http://schemas.openxmlformats.org/markup-compatibility/2006">
          <mc:Choice Requires="x14">
            <control shapeId="203800" r:id="rId24" name="Drop Down 24">
              <controlPr defaultSize="0" autoLine="0" autoPict="0">
                <anchor moveWithCells="1">
                  <from>
                    <xdr:col>0</xdr:col>
                    <xdr:colOff>257175</xdr:colOff>
                    <xdr:row>23</xdr:row>
                    <xdr:rowOff>66675</xdr:rowOff>
                  </from>
                  <to>
                    <xdr:col>1</xdr:col>
                    <xdr:colOff>533400</xdr:colOff>
                    <xdr:row>23</xdr:row>
                    <xdr:rowOff>266700</xdr:rowOff>
                  </to>
                </anchor>
              </controlPr>
            </control>
          </mc:Choice>
        </mc:AlternateContent>
        <mc:AlternateContent xmlns:mc="http://schemas.openxmlformats.org/markup-compatibility/2006">
          <mc:Choice Requires="x14">
            <control shapeId="203801" r:id="rId25" name="Drop Down 25">
              <controlPr defaultSize="0" autoLine="0" autoPict="0">
                <anchor moveWithCells="1">
                  <from>
                    <xdr:col>2</xdr:col>
                    <xdr:colOff>66675</xdr:colOff>
                    <xdr:row>23</xdr:row>
                    <xdr:rowOff>85725</xdr:rowOff>
                  </from>
                  <to>
                    <xdr:col>2</xdr:col>
                    <xdr:colOff>1095375</xdr:colOff>
                    <xdr:row>23</xdr:row>
                    <xdr:rowOff>295275</xdr:rowOff>
                  </to>
                </anchor>
              </controlPr>
            </control>
          </mc:Choice>
        </mc:AlternateContent>
        <mc:AlternateContent xmlns:mc="http://schemas.openxmlformats.org/markup-compatibility/2006">
          <mc:Choice Requires="x14">
            <control shapeId="203802" r:id="rId26" name="Drop Down 26">
              <controlPr defaultSize="0" autoLine="0" autoPict="0">
                <anchor moveWithCells="1">
                  <from>
                    <xdr:col>3</xdr:col>
                    <xdr:colOff>28575</xdr:colOff>
                    <xdr:row>23</xdr:row>
                    <xdr:rowOff>104775</xdr:rowOff>
                  </from>
                  <to>
                    <xdr:col>3</xdr:col>
                    <xdr:colOff>485775</xdr:colOff>
                    <xdr:row>23</xdr:row>
                    <xdr:rowOff>295275</xdr:rowOff>
                  </to>
                </anchor>
              </controlPr>
            </control>
          </mc:Choice>
        </mc:AlternateContent>
        <mc:AlternateContent xmlns:mc="http://schemas.openxmlformats.org/markup-compatibility/2006">
          <mc:Choice Requires="x14">
            <control shapeId="203805" r:id="rId27" name="Spinner 29">
              <controlPr defaultSize="0" autoPict="0">
                <anchor moveWithCells="1" sizeWithCells="1">
                  <from>
                    <xdr:col>4</xdr:col>
                    <xdr:colOff>904875</xdr:colOff>
                    <xdr:row>7</xdr:row>
                    <xdr:rowOff>66675</xdr:rowOff>
                  </from>
                  <to>
                    <xdr:col>4</xdr:col>
                    <xdr:colOff>1152525</xdr:colOff>
                    <xdr:row>7</xdr:row>
                    <xdr:rowOff>314325</xdr:rowOff>
                  </to>
                </anchor>
              </controlPr>
            </control>
          </mc:Choice>
        </mc:AlternateContent>
        <mc:AlternateContent xmlns:mc="http://schemas.openxmlformats.org/markup-compatibility/2006">
          <mc:Choice Requires="x14">
            <control shapeId="203806" r:id="rId28" name="Spinner 30">
              <controlPr defaultSize="0" autoPict="0">
                <anchor moveWithCells="1" sizeWithCells="1">
                  <from>
                    <xdr:col>5</xdr:col>
                    <xdr:colOff>990600</xdr:colOff>
                    <xdr:row>7</xdr:row>
                    <xdr:rowOff>76200</xdr:rowOff>
                  </from>
                  <to>
                    <xdr:col>5</xdr:col>
                    <xdr:colOff>1247775</xdr:colOff>
                    <xdr:row>7</xdr:row>
                    <xdr:rowOff>333375</xdr:rowOff>
                  </to>
                </anchor>
              </controlPr>
            </control>
          </mc:Choice>
        </mc:AlternateContent>
        <mc:AlternateContent xmlns:mc="http://schemas.openxmlformats.org/markup-compatibility/2006">
          <mc:Choice Requires="x14">
            <control shapeId="203807" r:id="rId29" name="Button 31">
              <controlPr defaultSize="0" print="0" autoFill="0" autoPict="0" macro="[0]!Accueil">
                <anchor moveWithCells="1" sizeWithCells="1">
                  <from>
                    <xdr:col>6</xdr:col>
                    <xdr:colOff>333375</xdr:colOff>
                    <xdr:row>20</xdr:row>
                    <xdr:rowOff>266700</xdr:rowOff>
                  </from>
                  <to>
                    <xdr:col>7</xdr:col>
                    <xdr:colOff>304800</xdr:colOff>
                    <xdr:row>21</xdr:row>
                    <xdr:rowOff>342900</xdr:rowOff>
                  </to>
                </anchor>
              </controlPr>
            </control>
          </mc:Choice>
        </mc:AlternateContent>
        <mc:AlternateContent xmlns:mc="http://schemas.openxmlformats.org/markup-compatibility/2006">
          <mc:Choice Requires="x14">
            <control shapeId="203808" r:id="rId30" name="Button 32">
              <controlPr defaultSize="0" print="0" autoFill="0" autoPict="0" macro="[0]!Accueil">
                <anchor moveWithCells="1" sizeWithCells="1">
                  <from>
                    <xdr:col>6</xdr:col>
                    <xdr:colOff>276225</xdr:colOff>
                    <xdr:row>4</xdr:row>
                    <xdr:rowOff>9525</xdr:rowOff>
                  </from>
                  <to>
                    <xdr:col>7</xdr:col>
                    <xdr:colOff>161925</xdr:colOff>
                    <xdr:row>5</xdr:row>
                    <xdr:rowOff>304800</xdr:rowOff>
                  </to>
                </anchor>
              </controlPr>
            </control>
          </mc:Choice>
        </mc:AlternateContent>
        <mc:AlternateContent xmlns:mc="http://schemas.openxmlformats.org/markup-compatibility/2006">
          <mc:Choice Requires="x14">
            <control shapeId="203809" r:id="rId31" name="Drop Down 33">
              <controlPr defaultSize="0" autoLine="0" autoPict="0">
                <anchor moveWithCells="1">
                  <from>
                    <xdr:col>4</xdr:col>
                    <xdr:colOff>152400</xdr:colOff>
                    <xdr:row>26</xdr:row>
                    <xdr:rowOff>200025</xdr:rowOff>
                  </from>
                  <to>
                    <xdr:col>4</xdr:col>
                    <xdr:colOff>1028700</xdr:colOff>
                    <xdr:row>27</xdr:row>
                    <xdr:rowOff>180975</xdr:rowOff>
                  </to>
                </anchor>
              </controlPr>
            </control>
          </mc:Choice>
        </mc:AlternateContent>
        <mc:AlternateContent xmlns:mc="http://schemas.openxmlformats.org/markup-compatibility/2006">
          <mc:Choice Requires="x14">
            <control shapeId="203810" r:id="rId32" name="Drop Down 34">
              <controlPr defaultSize="0" autoLine="0" autoPict="0">
                <anchor moveWithCells="1">
                  <from>
                    <xdr:col>4</xdr:col>
                    <xdr:colOff>161925</xdr:colOff>
                    <xdr:row>45</xdr:row>
                    <xdr:rowOff>0</xdr:rowOff>
                  </from>
                  <to>
                    <xdr:col>4</xdr:col>
                    <xdr:colOff>1038225</xdr:colOff>
                    <xdr:row>46</xdr:row>
                    <xdr:rowOff>0</xdr:rowOff>
                  </to>
                </anchor>
              </controlPr>
            </control>
          </mc:Choice>
        </mc:AlternateContent>
        <mc:AlternateContent xmlns:mc="http://schemas.openxmlformats.org/markup-compatibility/2006">
          <mc:Choice Requires="x14">
            <control shapeId="203811" r:id="rId33" name="Drop Down 35">
              <controlPr defaultSize="0" autoLine="0" autoPict="0">
                <anchor moveWithCells="1">
                  <from>
                    <xdr:col>8</xdr:col>
                    <xdr:colOff>152400</xdr:colOff>
                    <xdr:row>27</xdr:row>
                    <xdr:rowOff>0</xdr:rowOff>
                  </from>
                  <to>
                    <xdr:col>8</xdr:col>
                    <xdr:colOff>1028700</xdr:colOff>
                    <xdr:row>28</xdr:row>
                    <xdr:rowOff>0</xdr:rowOff>
                  </to>
                </anchor>
              </controlPr>
            </control>
          </mc:Choice>
        </mc:AlternateContent>
        <mc:AlternateContent xmlns:mc="http://schemas.openxmlformats.org/markup-compatibility/2006">
          <mc:Choice Requires="x14">
            <control shapeId="203812" r:id="rId34" name="Drop Down 36">
              <controlPr defaultSize="0" autoLine="0" autoPict="0">
                <anchor moveWithCells="1">
                  <from>
                    <xdr:col>4</xdr:col>
                    <xdr:colOff>152400</xdr:colOff>
                    <xdr:row>33</xdr:row>
                    <xdr:rowOff>0</xdr:rowOff>
                  </from>
                  <to>
                    <xdr:col>4</xdr:col>
                    <xdr:colOff>1028700</xdr:colOff>
                    <xdr:row>34</xdr:row>
                    <xdr:rowOff>0</xdr:rowOff>
                  </to>
                </anchor>
              </controlPr>
            </control>
          </mc:Choice>
        </mc:AlternateContent>
        <mc:AlternateContent xmlns:mc="http://schemas.openxmlformats.org/markup-compatibility/2006">
          <mc:Choice Requires="x14">
            <control shapeId="203813" r:id="rId35" name="Drop Down 37">
              <controlPr defaultSize="0" autoLine="0" autoPict="0">
                <anchor moveWithCells="1">
                  <from>
                    <xdr:col>8</xdr:col>
                    <xdr:colOff>152400</xdr:colOff>
                    <xdr:row>33</xdr:row>
                    <xdr:rowOff>0</xdr:rowOff>
                  </from>
                  <to>
                    <xdr:col>8</xdr:col>
                    <xdr:colOff>1028700</xdr:colOff>
                    <xdr:row>34</xdr:row>
                    <xdr:rowOff>0</xdr:rowOff>
                  </to>
                </anchor>
              </controlPr>
            </control>
          </mc:Choice>
        </mc:AlternateContent>
        <mc:AlternateContent xmlns:mc="http://schemas.openxmlformats.org/markup-compatibility/2006">
          <mc:Choice Requires="x14">
            <control shapeId="203814" r:id="rId36" name="Drop Down 38">
              <controlPr defaultSize="0" autoLine="0" autoPict="0">
                <anchor moveWithCells="1">
                  <from>
                    <xdr:col>8</xdr:col>
                    <xdr:colOff>152400</xdr:colOff>
                    <xdr:row>39</xdr:row>
                    <xdr:rowOff>0</xdr:rowOff>
                  </from>
                  <to>
                    <xdr:col>8</xdr:col>
                    <xdr:colOff>1028700</xdr:colOff>
                    <xdr:row>40</xdr:row>
                    <xdr:rowOff>0</xdr:rowOff>
                  </to>
                </anchor>
              </controlPr>
            </control>
          </mc:Choice>
        </mc:AlternateContent>
        <mc:AlternateContent xmlns:mc="http://schemas.openxmlformats.org/markup-compatibility/2006">
          <mc:Choice Requires="x14">
            <control shapeId="203815" r:id="rId37" name="Drop Down 39">
              <controlPr defaultSize="0" autoLine="0" autoPict="0">
                <anchor moveWithCells="1">
                  <from>
                    <xdr:col>4</xdr:col>
                    <xdr:colOff>152400</xdr:colOff>
                    <xdr:row>39</xdr:row>
                    <xdr:rowOff>0</xdr:rowOff>
                  </from>
                  <to>
                    <xdr:col>4</xdr:col>
                    <xdr:colOff>1028700</xdr:colOff>
                    <xdr:row>40</xdr:row>
                    <xdr:rowOff>0</xdr:rowOff>
                  </to>
                </anchor>
              </controlPr>
            </control>
          </mc:Choice>
        </mc:AlternateContent>
        <mc:AlternateContent xmlns:mc="http://schemas.openxmlformats.org/markup-compatibility/2006">
          <mc:Choice Requires="x14">
            <control shapeId="203816" r:id="rId38" name="Drop Down 40">
              <controlPr defaultSize="0" autoLine="0" autoPict="0">
                <anchor moveWithCells="1">
                  <from>
                    <xdr:col>4</xdr:col>
                    <xdr:colOff>152400</xdr:colOff>
                    <xdr:row>48</xdr:row>
                    <xdr:rowOff>0</xdr:rowOff>
                  </from>
                  <to>
                    <xdr:col>4</xdr:col>
                    <xdr:colOff>1028700</xdr:colOff>
                    <xdr:row>49</xdr:row>
                    <xdr:rowOff>0</xdr:rowOff>
                  </to>
                </anchor>
              </controlPr>
            </control>
          </mc:Choice>
        </mc:AlternateContent>
        <mc:AlternateContent xmlns:mc="http://schemas.openxmlformats.org/markup-compatibility/2006">
          <mc:Choice Requires="x14">
            <control shapeId="203817" r:id="rId39" name="Drop Down 41">
              <controlPr defaultSize="0" autoLine="0" autoPict="0">
                <anchor moveWithCells="1">
                  <from>
                    <xdr:col>4</xdr:col>
                    <xdr:colOff>152400</xdr:colOff>
                    <xdr:row>51</xdr:row>
                    <xdr:rowOff>0</xdr:rowOff>
                  </from>
                  <to>
                    <xdr:col>4</xdr:col>
                    <xdr:colOff>1028700</xdr:colOff>
                    <xdr:row>52</xdr:row>
                    <xdr:rowOff>0</xdr:rowOff>
                  </to>
                </anchor>
              </controlPr>
            </control>
          </mc:Choice>
        </mc:AlternateContent>
        <mc:AlternateContent xmlns:mc="http://schemas.openxmlformats.org/markup-compatibility/2006">
          <mc:Choice Requires="x14">
            <control shapeId="203818" r:id="rId40" name="Drop Down 42">
              <controlPr defaultSize="0" autoLine="0" autoPict="0">
                <anchor moveWithCells="1">
                  <from>
                    <xdr:col>4</xdr:col>
                    <xdr:colOff>152400</xdr:colOff>
                    <xdr:row>53</xdr:row>
                    <xdr:rowOff>200025</xdr:rowOff>
                  </from>
                  <to>
                    <xdr:col>4</xdr:col>
                    <xdr:colOff>1028700</xdr:colOff>
                    <xdr:row>55</xdr:row>
                    <xdr:rowOff>0</xdr:rowOff>
                  </to>
                </anchor>
              </controlPr>
            </control>
          </mc:Choice>
        </mc:AlternateContent>
        <mc:AlternateContent xmlns:mc="http://schemas.openxmlformats.org/markup-compatibility/2006">
          <mc:Choice Requires="x14">
            <control shapeId="203819" r:id="rId41" name="Drop Down 43">
              <controlPr defaultSize="0" autoLine="0" autoPict="0">
                <anchor moveWithCells="1">
                  <from>
                    <xdr:col>4</xdr:col>
                    <xdr:colOff>152400</xdr:colOff>
                    <xdr:row>57</xdr:row>
                    <xdr:rowOff>0</xdr:rowOff>
                  </from>
                  <to>
                    <xdr:col>4</xdr:col>
                    <xdr:colOff>1028700</xdr:colOff>
                    <xdr:row>58</xdr:row>
                    <xdr:rowOff>0</xdr:rowOff>
                  </to>
                </anchor>
              </controlPr>
            </control>
          </mc:Choice>
        </mc:AlternateContent>
        <mc:AlternateContent xmlns:mc="http://schemas.openxmlformats.org/markup-compatibility/2006">
          <mc:Choice Requires="x14">
            <control shapeId="203820" r:id="rId42" name="Drop Down 44">
              <controlPr defaultSize="0" autoLine="0" autoPict="0">
                <anchor moveWithCells="1">
                  <from>
                    <xdr:col>4</xdr:col>
                    <xdr:colOff>152400</xdr:colOff>
                    <xdr:row>60</xdr:row>
                    <xdr:rowOff>0</xdr:rowOff>
                  </from>
                  <to>
                    <xdr:col>4</xdr:col>
                    <xdr:colOff>1028700</xdr:colOff>
                    <xdr:row>61</xdr:row>
                    <xdr:rowOff>0</xdr:rowOff>
                  </to>
                </anchor>
              </controlPr>
            </control>
          </mc:Choice>
        </mc:AlternateContent>
        <mc:AlternateContent xmlns:mc="http://schemas.openxmlformats.org/markup-compatibility/2006">
          <mc:Choice Requires="x14">
            <control shapeId="203821" r:id="rId43" name="Drop Down 45">
              <controlPr defaultSize="0" autoLine="0" autoPict="0">
                <anchor moveWithCells="1">
                  <from>
                    <xdr:col>8</xdr:col>
                    <xdr:colOff>152400</xdr:colOff>
                    <xdr:row>45</xdr:row>
                    <xdr:rowOff>0</xdr:rowOff>
                  </from>
                  <to>
                    <xdr:col>8</xdr:col>
                    <xdr:colOff>1028700</xdr:colOff>
                    <xdr:row>46</xdr:row>
                    <xdr:rowOff>0</xdr:rowOff>
                  </to>
                </anchor>
              </controlPr>
            </control>
          </mc:Choice>
        </mc:AlternateContent>
        <mc:AlternateContent xmlns:mc="http://schemas.openxmlformats.org/markup-compatibility/2006">
          <mc:Choice Requires="x14">
            <control shapeId="203822" r:id="rId44" name="Drop Down 46">
              <controlPr defaultSize="0" autoLine="0" autoPict="0">
                <anchor moveWithCells="1">
                  <from>
                    <xdr:col>8</xdr:col>
                    <xdr:colOff>152400</xdr:colOff>
                    <xdr:row>48</xdr:row>
                    <xdr:rowOff>0</xdr:rowOff>
                  </from>
                  <to>
                    <xdr:col>8</xdr:col>
                    <xdr:colOff>1028700</xdr:colOff>
                    <xdr:row>49</xdr:row>
                    <xdr:rowOff>0</xdr:rowOff>
                  </to>
                </anchor>
              </controlPr>
            </control>
          </mc:Choice>
        </mc:AlternateContent>
        <mc:AlternateContent xmlns:mc="http://schemas.openxmlformats.org/markup-compatibility/2006">
          <mc:Choice Requires="x14">
            <control shapeId="203823" r:id="rId45" name="Drop Down 47">
              <controlPr defaultSize="0" autoLine="0" autoPict="0">
                <anchor moveWithCells="1">
                  <from>
                    <xdr:col>8</xdr:col>
                    <xdr:colOff>152400</xdr:colOff>
                    <xdr:row>51</xdr:row>
                    <xdr:rowOff>0</xdr:rowOff>
                  </from>
                  <to>
                    <xdr:col>8</xdr:col>
                    <xdr:colOff>1028700</xdr:colOff>
                    <xdr:row>52</xdr:row>
                    <xdr:rowOff>0</xdr:rowOff>
                  </to>
                </anchor>
              </controlPr>
            </control>
          </mc:Choice>
        </mc:AlternateContent>
        <mc:AlternateContent xmlns:mc="http://schemas.openxmlformats.org/markup-compatibility/2006">
          <mc:Choice Requires="x14">
            <control shapeId="203824" r:id="rId46" name="Drop Down 48">
              <controlPr defaultSize="0" autoLine="0" autoPict="0">
                <anchor moveWithCells="1">
                  <from>
                    <xdr:col>8</xdr:col>
                    <xdr:colOff>152400</xdr:colOff>
                    <xdr:row>53</xdr:row>
                    <xdr:rowOff>200025</xdr:rowOff>
                  </from>
                  <to>
                    <xdr:col>8</xdr:col>
                    <xdr:colOff>1028700</xdr:colOff>
                    <xdr:row>55</xdr:row>
                    <xdr:rowOff>0</xdr:rowOff>
                  </to>
                </anchor>
              </controlPr>
            </control>
          </mc:Choice>
        </mc:AlternateContent>
        <mc:AlternateContent xmlns:mc="http://schemas.openxmlformats.org/markup-compatibility/2006">
          <mc:Choice Requires="x14">
            <control shapeId="203825" r:id="rId47" name="Drop Down 49">
              <controlPr defaultSize="0" autoLine="0" autoPict="0">
                <anchor moveWithCells="1">
                  <from>
                    <xdr:col>8</xdr:col>
                    <xdr:colOff>152400</xdr:colOff>
                    <xdr:row>57</xdr:row>
                    <xdr:rowOff>0</xdr:rowOff>
                  </from>
                  <to>
                    <xdr:col>8</xdr:col>
                    <xdr:colOff>1028700</xdr:colOff>
                    <xdr:row>58</xdr:row>
                    <xdr:rowOff>0</xdr:rowOff>
                  </to>
                </anchor>
              </controlPr>
            </control>
          </mc:Choice>
        </mc:AlternateContent>
        <mc:AlternateContent xmlns:mc="http://schemas.openxmlformats.org/markup-compatibility/2006">
          <mc:Choice Requires="x14">
            <control shapeId="203826" r:id="rId48" name="Drop Down 50">
              <controlPr defaultSize="0" autoLine="0" autoPict="0">
                <anchor moveWithCells="1">
                  <from>
                    <xdr:col>8</xdr:col>
                    <xdr:colOff>152400</xdr:colOff>
                    <xdr:row>60</xdr:row>
                    <xdr:rowOff>0</xdr:rowOff>
                  </from>
                  <to>
                    <xdr:col>8</xdr:col>
                    <xdr:colOff>1028700</xdr:colOff>
                    <xdr:row>61</xdr:row>
                    <xdr:rowOff>0</xdr:rowOff>
                  </to>
                </anchor>
              </controlPr>
            </control>
          </mc:Choice>
        </mc:AlternateContent>
        <mc:AlternateContent xmlns:mc="http://schemas.openxmlformats.org/markup-compatibility/2006">
          <mc:Choice Requires="x14">
            <control shapeId="203827" r:id="rId49" name="Button 51">
              <controlPr defaultSize="0" print="0" autoFill="0" autoPict="0" macro="[0]!Accueil">
                <anchor moveWithCells="1" sizeWithCells="1">
                  <from>
                    <xdr:col>0</xdr:col>
                    <xdr:colOff>114300</xdr:colOff>
                    <xdr:row>47</xdr:row>
                    <xdr:rowOff>28575</xdr:rowOff>
                  </from>
                  <to>
                    <xdr:col>0</xdr:col>
                    <xdr:colOff>1057275</xdr:colOff>
                    <xdr:row>50</xdr:row>
                    <xdr:rowOff>9525</xdr:rowOff>
                  </to>
                </anchor>
              </controlPr>
            </control>
          </mc:Choice>
        </mc:AlternateContent>
        <mc:AlternateContent xmlns:mc="http://schemas.openxmlformats.org/markup-compatibility/2006">
          <mc:Choice Requires="x14">
            <control shapeId="203828" r:id="rId50" name="Button 52">
              <controlPr defaultSize="0" print="0" autoFill="0" autoPict="0" macro="[0]!AAA">
                <anchor moveWithCells="1" sizeWithCells="1">
                  <from>
                    <xdr:col>0</xdr:col>
                    <xdr:colOff>114300</xdr:colOff>
                    <xdr:row>50</xdr:row>
                    <xdr:rowOff>104775</xdr:rowOff>
                  </from>
                  <to>
                    <xdr:col>0</xdr:col>
                    <xdr:colOff>1057275</xdr:colOff>
                    <xdr:row>53</xdr:row>
                    <xdr:rowOff>104775</xdr:rowOff>
                  </to>
                </anchor>
              </controlPr>
            </control>
          </mc:Choice>
        </mc:AlternateContent>
        <mc:AlternateContent xmlns:mc="http://schemas.openxmlformats.org/markup-compatibility/2006">
          <mc:Choice Requires="x14">
            <control shapeId="203830" r:id="rId51" name="Button 54">
              <controlPr defaultSize="0" print="0" autoFill="0" autoPict="0" macro="[0]!Accueil">
                <anchor moveWithCells="1" sizeWithCells="1">
                  <from>
                    <xdr:col>6</xdr:col>
                    <xdr:colOff>333375</xdr:colOff>
                    <xdr:row>72</xdr:row>
                    <xdr:rowOff>104775</xdr:rowOff>
                  </from>
                  <to>
                    <xdr:col>7</xdr:col>
                    <xdr:colOff>304800</xdr:colOff>
                    <xdr:row>75</xdr:row>
                    <xdr:rowOff>76200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3"/>
  <dimension ref="A1:N260"/>
  <sheetViews>
    <sheetView workbookViewId="0">
      <selection activeCell="H1" sqref="H1"/>
    </sheetView>
  </sheetViews>
  <sheetFormatPr baseColWidth="10" defaultRowHeight="12.75"/>
  <cols>
    <col min="1" max="1" width="20.140625" customWidth="1"/>
    <col min="2" max="2" width="15.140625" bestFit="1" customWidth="1"/>
    <col min="12" max="14" width="10.85546875" style="18"/>
  </cols>
  <sheetData>
    <row r="1" spans="1:14">
      <c r="A1" t="s">
        <v>425</v>
      </c>
      <c r="B1" s="14" t="str">
        <f>'Courbe In'!A2</f>
        <v xml:space="preserve"> </v>
      </c>
      <c r="F1" t="s">
        <v>400</v>
      </c>
      <c r="G1" s="13" t="s">
        <v>634</v>
      </c>
      <c r="H1" s="13" t="s">
        <v>313</v>
      </c>
      <c r="I1" s="13" t="s">
        <v>403</v>
      </c>
      <c r="J1" s="13" t="s">
        <v>92</v>
      </c>
      <c r="K1" s="13" t="s">
        <v>635</v>
      </c>
      <c r="L1" s="18" t="s">
        <v>401</v>
      </c>
      <c r="M1" s="18" t="s">
        <v>402</v>
      </c>
      <c r="N1" s="18" t="s">
        <v>403</v>
      </c>
    </row>
    <row r="2" spans="1:14">
      <c r="A2" t="s">
        <v>358</v>
      </c>
      <c r="B2" s="14">
        <f>'Courbe In'!A4</f>
        <v>0</v>
      </c>
      <c r="F2">
        <v>12</v>
      </c>
      <c r="G2" s="19">
        <f>'Courbe IMC'!C51</f>
        <v>16.071999999999999</v>
      </c>
      <c r="H2" s="13">
        <f>G2*17/18.5</f>
        <v>14.768864864864865</v>
      </c>
      <c r="I2" s="13">
        <f>G2*15/18.5</f>
        <v>13.031351351351351</v>
      </c>
      <c r="J2">
        <f>'Courbe IMC'!C$48</f>
        <v>18.911500000000004</v>
      </c>
      <c r="K2" s="13">
        <f>G2*16/18.5</f>
        <v>13.900108108108107</v>
      </c>
      <c r="L2" s="18">
        <f>'Courbe IMC'!C5</f>
        <v>16.399999999999999</v>
      </c>
      <c r="M2" s="18">
        <f>L2*16/19</f>
        <v>13.810526315789472</v>
      </c>
      <c r="N2" s="18">
        <f>L2*14.5/19</f>
        <v>12.51578947368421</v>
      </c>
    </row>
    <row r="3" spans="1:14">
      <c r="F3">
        <v>13</v>
      </c>
      <c r="G3" s="13">
        <f>G2-((G$2-G$14)/12)</f>
        <v>16.003166666666665</v>
      </c>
      <c r="H3" s="13">
        <f t="shared" ref="H3:H66" si="0">G3*17/18.5</f>
        <v>14.705612612612612</v>
      </c>
      <c r="I3" s="13">
        <f t="shared" ref="I3:I66" si="1">G3*15/18.5</f>
        <v>12.975540540540539</v>
      </c>
      <c r="J3" s="13">
        <f>J2-((J2-J14)/12)</f>
        <v>18.810916666666671</v>
      </c>
      <c r="K3" s="13">
        <f t="shared" ref="K3:K66" si="2">G3*16/18.5</f>
        <v>13.840576576576575</v>
      </c>
      <c r="L3" s="18">
        <f>(L2-L14)/12+L14</f>
        <v>15.8005</v>
      </c>
      <c r="M3" s="18">
        <f>(M2-M14)/12+M14</f>
        <v>13.305684210526316</v>
      </c>
      <c r="N3" s="18">
        <f>(N2-N14)/12+N14</f>
        <v>12.058276315789474</v>
      </c>
    </row>
    <row r="4" spans="1:14">
      <c r="B4" t="s">
        <v>404</v>
      </c>
      <c r="C4" t="s">
        <v>300</v>
      </c>
      <c r="D4" t="s">
        <v>400</v>
      </c>
      <c r="E4" t="s">
        <v>420</v>
      </c>
      <c r="F4">
        <v>14</v>
      </c>
      <c r="G4" s="13">
        <f t="shared" ref="G4:G13" si="3">G3-(($G$2-$G$14)/12)</f>
        <v>15.934333333333331</v>
      </c>
      <c r="H4" s="13">
        <f t="shared" si="0"/>
        <v>14.642360360360357</v>
      </c>
      <c r="I4" s="13">
        <f t="shared" si="1"/>
        <v>12.919729729729728</v>
      </c>
      <c r="J4" s="13">
        <f t="shared" ref="J4:J13" si="4">J3-((J$2-J$14)/12)</f>
        <v>18.710333333333338</v>
      </c>
      <c r="K4" s="13">
        <f t="shared" si="2"/>
        <v>13.781045045045044</v>
      </c>
      <c r="L4" s="18">
        <f>(L2-L14)*2/12+L14</f>
        <v>15.855</v>
      </c>
      <c r="M4" s="18">
        <f>(M2-M14)*2/12+M14</f>
        <v>13.351578947368422</v>
      </c>
      <c r="N4" s="18">
        <f>(N2-N14)*2/12+N14</f>
        <v>12.099868421052632</v>
      </c>
    </row>
    <row r="5" spans="1:14">
      <c r="A5" t="s">
        <v>392</v>
      </c>
      <c r="B5" t="e">
        <f>TRUNC(D5/12)</f>
        <v>#VALUE!</v>
      </c>
      <c r="C5" t="e">
        <f>D5-B5*12</f>
        <v>#VALUE!</v>
      </c>
      <c r="D5" t="e">
        <f>TRUNC(Accueil!B3-'Courbe In'!A6)/30.41</f>
        <v>#VALUE!</v>
      </c>
      <c r="E5" t="e">
        <f>('Courbe In'!D3-'Courbe In'!A6)/30.41</f>
        <v>#VALUE!</v>
      </c>
      <c r="F5">
        <v>15</v>
      </c>
      <c r="G5" s="13">
        <f t="shared" si="3"/>
        <v>15.865499999999997</v>
      </c>
      <c r="H5" s="13">
        <f t="shared" si="0"/>
        <v>14.579108108108105</v>
      </c>
      <c r="I5" s="13">
        <f t="shared" si="1"/>
        <v>12.863918918918916</v>
      </c>
      <c r="J5" s="13">
        <f t="shared" si="4"/>
        <v>18.609750000000005</v>
      </c>
      <c r="K5" s="13">
        <f t="shared" si="2"/>
        <v>13.721513513513511</v>
      </c>
      <c r="L5" s="18">
        <f>(L2-L14)*3/12+L14</f>
        <v>15.9095</v>
      </c>
      <c r="M5" s="18">
        <f>(M2-M14)*3/12+M14</f>
        <v>13.397473684210526</v>
      </c>
      <c r="N5" s="18">
        <f>(N2-N14)*3/12+N14</f>
        <v>12.14146052631579</v>
      </c>
    </row>
    <row r="6" spans="1:14">
      <c r="A6" t="s">
        <v>413</v>
      </c>
      <c r="B6" s="13" t="s">
        <v>415</v>
      </c>
      <c r="C6" s="20" t="s">
        <v>414</v>
      </c>
      <c r="F6">
        <v>16</v>
      </c>
      <c r="G6" s="13">
        <f t="shared" si="3"/>
        <v>15.796666666666663</v>
      </c>
      <c r="H6" s="13">
        <f t="shared" si="0"/>
        <v>14.515855855855854</v>
      </c>
      <c r="I6" s="13">
        <f t="shared" si="1"/>
        <v>12.808108108108106</v>
      </c>
      <c r="J6" s="13">
        <f t="shared" si="4"/>
        <v>18.509166666666673</v>
      </c>
      <c r="K6" s="13">
        <f t="shared" si="2"/>
        <v>13.661981981981979</v>
      </c>
      <c r="L6" s="18">
        <f>(L2-L14)*4/12+L14</f>
        <v>15.964</v>
      </c>
      <c r="M6" s="18">
        <f>(M2-M14)*4/12+M14</f>
        <v>13.443368421052632</v>
      </c>
      <c r="N6" s="18">
        <f>(N2-N14)*4/12+N14</f>
        <v>12.183052631578947</v>
      </c>
    </row>
    <row r="7" spans="1:14">
      <c r="A7" t="s">
        <v>401</v>
      </c>
      <c r="B7" t="e">
        <f>D12/B8*B8</f>
        <v>#VALUE!</v>
      </c>
      <c r="C7" s="18" t="e">
        <f>(VLOOKUP(D5,F:N,6)+(VLOOKUP(D5+1,F:N,6)-VLOOKUP(D5,F:N,6))*(E5-D5))*B41+(L254+(E5-264)*5.8/(12*58))*B42*B43+(L254+5.8)*B44</f>
        <v>#VALUE!</v>
      </c>
      <c r="F7">
        <v>17</v>
      </c>
      <c r="G7" s="13">
        <f t="shared" si="3"/>
        <v>15.727833333333329</v>
      </c>
      <c r="H7" s="13">
        <f t="shared" si="0"/>
        <v>14.452603603603599</v>
      </c>
      <c r="I7" s="13">
        <f t="shared" si="1"/>
        <v>12.752297297297293</v>
      </c>
      <c r="J7" s="13">
        <f t="shared" si="4"/>
        <v>18.40858333333334</v>
      </c>
      <c r="K7" s="13">
        <f t="shared" si="2"/>
        <v>13.602450450450448</v>
      </c>
      <c r="L7" s="18">
        <f>(L2-L14)*5/12+L17</f>
        <v>15.858899999999998</v>
      </c>
      <c r="M7" s="18">
        <f>(M2-M14)*5/12+M17</f>
        <v>13.354863157894735</v>
      </c>
      <c r="N7" s="18">
        <f>(N2-N14)*5/12+N14</f>
        <v>12.224644736842105</v>
      </c>
    </row>
    <row r="8" spans="1:14">
      <c r="A8" t="s">
        <v>405</v>
      </c>
      <c r="B8" s="14" t="str">
        <f>'Courbe In'!B7</f>
        <v/>
      </c>
      <c r="C8" s="21" t="str">
        <f>'Courbe In'!B7</f>
        <v/>
      </c>
      <c r="F8">
        <v>18</v>
      </c>
      <c r="G8" s="13">
        <f t="shared" si="3"/>
        <v>15.658999999999995</v>
      </c>
      <c r="H8" s="13">
        <f t="shared" si="0"/>
        <v>14.389351351351348</v>
      </c>
      <c r="I8" s="13">
        <f t="shared" si="1"/>
        <v>12.696486486486483</v>
      </c>
      <c r="J8" s="13">
        <f t="shared" si="4"/>
        <v>18.308000000000007</v>
      </c>
      <c r="K8" s="13">
        <f t="shared" si="2"/>
        <v>13.542918918918915</v>
      </c>
      <c r="L8" s="18">
        <f>(L2-L14)*6/12+L14</f>
        <v>16.073</v>
      </c>
      <c r="M8" s="18">
        <f>(M2-M14)*6/12+M14</f>
        <v>13.535157894736841</v>
      </c>
      <c r="N8" s="18">
        <f>(N2-N14)*6/12+N14</f>
        <v>12.266236842105263</v>
      </c>
    </row>
    <row r="9" spans="1:14">
      <c r="C9" s="18"/>
      <c r="F9">
        <v>19</v>
      </c>
      <c r="G9" s="13">
        <f t="shared" si="3"/>
        <v>15.590166666666661</v>
      </c>
      <c r="H9" s="13">
        <f t="shared" si="0"/>
        <v>14.326099099099094</v>
      </c>
      <c r="I9" s="13">
        <f t="shared" si="1"/>
        <v>12.64067567567567</v>
      </c>
      <c r="J9" s="13">
        <f t="shared" si="4"/>
        <v>18.207416666666674</v>
      </c>
      <c r="K9" s="13">
        <f t="shared" si="2"/>
        <v>13.483387387387383</v>
      </c>
      <c r="L9" s="18">
        <f>(L2-L14)*7/12+L14</f>
        <v>16.127499999999998</v>
      </c>
      <c r="M9" s="18">
        <f>(M2-M14)*7/12+M14</f>
        <v>13.581052631578947</v>
      </c>
      <c r="N9" s="18">
        <f>(N2-N14)*7/12+N14</f>
        <v>12.307828947368421</v>
      </c>
    </row>
    <row r="10" spans="1:14">
      <c r="A10" t="s">
        <v>397</v>
      </c>
      <c r="B10" s="13" t="e">
        <f>((VLOOKUP(D5,F:I,4)+(VLOOKUP(D5+1,F:I,4)-VLOOKUP(D5,F:I,4))*(E5-D5))*B41+(19+(E5-264)*2/(12*58))*14.5/19*B42*B43+24.8*B44*14.5/19)*B8*B8</f>
        <v>#VALUE!</v>
      </c>
      <c r="C10" s="18" t="e">
        <f>((VLOOKUP(D5,F:N,8)+(VLOOKUP(D5+1,F:N,8)-VLOOKUP(D5,F:N,8))*(E5-D5))*B41+(L254+(E5-264)*2/(12*58))*14.5/19*B42*B43+(L254+5.8)*B44*14.5/19)*C8*C8</f>
        <v>#VALUE!</v>
      </c>
      <c r="D10" t="e">
        <f>(VLOOKUP(INT(D5),F:I,4))*B8*B8</f>
        <v>#VALUE!</v>
      </c>
      <c r="F10">
        <v>20</v>
      </c>
      <c r="G10" s="13">
        <f t="shared" si="3"/>
        <v>15.521333333333327</v>
      </c>
      <c r="H10" s="13">
        <f t="shared" si="0"/>
        <v>14.262846846846839</v>
      </c>
      <c r="I10" s="13">
        <f t="shared" si="1"/>
        <v>12.58486486486486</v>
      </c>
      <c r="J10" s="13">
        <f t="shared" si="4"/>
        <v>18.106833333333341</v>
      </c>
      <c r="K10" s="13">
        <f t="shared" si="2"/>
        <v>13.423855855855852</v>
      </c>
      <c r="L10" s="18">
        <f>(L2-L14)*8/12+L14</f>
        <v>16.181999999999999</v>
      </c>
      <c r="M10" s="18">
        <f>(M2-M14)*8/12+M14</f>
        <v>13.626947368421051</v>
      </c>
      <c r="N10" s="18">
        <f>(N2-N14)*8/12+N14</f>
        <v>12.349421052631579</v>
      </c>
    </row>
    <row r="11" spans="1:14">
      <c r="A11" t="s">
        <v>396</v>
      </c>
      <c r="B11" s="13" t="e">
        <f>((VLOOKUP(D5,F:I,3)+(VLOOKUP(D5+1,F:I,3)-VLOOKUP(D5,F:I,3))*(E5-D5))*B41+(19+(E5-264)*2/(12*58))*16/19*B42*B43+24.8*B44*16/19)*B8*B8</f>
        <v>#VALUE!</v>
      </c>
      <c r="C11" s="18" t="e">
        <f>((VLOOKUP(D5,F:N,7)+(VLOOKUP(D5+1,F:N,7)-VLOOKUP(D5,F:N,7))*(E5-D5))*B41+(L254+(E5-264)*2/(12*58))*16/19*B42*B43+(L254+5.8)*B44*16/19)*C8*C8</f>
        <v>#VALUE!</v>
      </c>
      <c r="D11" t="e">
        <f>VLOOKUP(INT(D5),F:I,3)*B8*B8</f>
        <v>#VALUE!</v>
      </c>
      <c r="F11">
        <v>21</v>
      </c>
      <c r="G11" s="13">
        <f t="shared" si="3"/>
        <v>15.452499999999993</v>
      </c>
      <c r="H11" s="13">
        <f t="shared" si="0"/>
        <v>14.199594594594588</v>
      </c>
      <c r="I11" s="13">
        <f t="shared" si="1"/>
        <v>12.529054054054049</v>
      </c>
      <c r="J11" s="13">
        <f t="shared" si="4"/>
        <v>18.006250000000009</v>
      </c>
      <c r="K11" s="13">
        <f t="shared" si="2"/>
        <v>13.364324324324318</v>
      </c>
      <c r="L11" s="18">
        <f>(L2-L14)*9/12+L14</f>
        <v>16.236499999999999</v>
      </c>
      <c r="M11" s="18">
        <f>(M2-M14)*9/12+M14</f>
        <v>13.672842105263157</v>
      </c>
      <c r="N11" s="18">
        <f>(N2-N14)*9/12+N14</f>
        <v>12.391013157894736</v>
      </c>
    </row>
    <row r="12" spans="1:14">
      <c r="A12" t="s">
        <v>406</v>
      </c>
      <c r="B12" s="13" t="e">
        <f>((VLOOKUP(D5,F:I,2)+(VLOOKUP(D5+1,F:I,2)-VLOOKUP(D5,F:I,2))*(E5-D5))*B41+(G254+(E5-264)*2/(12*58))*B42*B43+(G254+5.8)*B44)*B8*B8</f>
        <v>#VALUE!</v>
      </c>
      <c r="C12" s="18" t="e">
        <f>((VLOOKUP(D5,F:N,6)+(VLOOKUP(D5+1,F:N,6)-VLOOKUP(D5,F:N,6))*(E5-D5))*B41+(L254+(E5-264)*2/(12*58))*B42*B43+(L254+5.8)*B44)*C8*C8</f>
        <v>#VALUE!</v>
      </c>
      <c r="D12" t="e">
        <f>(VLOOKUP(INT($D$5),$F:$J,2)*$B$8*$B$8)</f>
        <v>#VALUE!</v>
      </c>
      <c r="E12" t="e">
        <f>(VLOOKUP(INT($D$5),$F:$J,5)*$B$8*$B$8)</f>
        <v>#VALUE!</v>
      </c>
      <c r="F12">
        <v>22</v>
      </c>
      <c r="G12" s="13">
        <f t="shared" si="3"/>
        <v>15.383666666666659</v>
      </c>
      <c r="H12" s="13">
        <f t="shared" si="0"/>
        <v>14.136342342342337</v>
      </c>
      <c r="I12" s="13">
        <f t="shared" si="1"/>
        <v>12.473243243243237</v>
      </c>
      <c r="J12" s="13">
        <f t="shared" si="4"/>
        <v>17.905666666666676</v>
      </c>
      <c r="K12" s="13">
        <f t="shared" si="2"/>
        <v>13.304792792792787</v>
      </c>
      <c r="L12" s="18">
        <f>(L2-L14)*10/12+L14</f>
        <v>16.291</v>
      </c>
      <c r="M12" s="18">
        <f>(M2-M14)*10/12+M14</f>
        <v>13.718736842105262</v>
      </c>
      <c r="N12" s="18">
        <f>(N2-N14)*10/12+N14</f>
        <v>12.432605263157894</v>
      </c>
    </row>
    <row r="13" spans="1:14">
      <c r="C13" s="18"/>
      <c r="F13">
        <v>23</v>
      </c>
      <c r="G13" s="13">
        <f t="shared" si="3"/>
        <v>15.314833333333326</v>
      </c>
      <c r="H13" s="13">
        <f t="shared" si="0"/>
        <v>14.073090090090085</v>
      </c>
      <c r="I13" s="13">
        <f t="shared" si="1"/>
        <v>12.417432432432426</v>
      </c>
      <c r="J13" s="13">
        <f t="shared" si="4"/>
        <v>17.805083333333343</v>
      </c>
      <c r="K13" s="13">
        <f t="shared" si="2"/>
        <v>13.245261261261254</v>
      </c>
      <c r="L13" s="18">
        <f>(L2-L14)*11/12+L14</f>
        <v>16.345499999999998</v>
      </c>
      <c r="M13" s="18">
        <f>(M2-M14)*11/12+M14</f>
        <v>13.764631578947368</v>
      </c>
      <c r="N13" s="18">
        <f>(N2-N14)*11/12+N14</f>
        <v>12.474197368421052</v>
      </c>
    </row>
    <row r="14" spans="1:14">
      <c r="A14" t="s">
        <v>350</v>
      </c>
      <c r="B14" s="22">
        <f ca="1">NOW()</f>
        <v>45337.840687384261</v>
      </c>
      <c r="C14" s="18"/>
      <c r="E14">
        <v>2</v>
      </c>
      <c r="F14">
        <v>24</v>
      </c>
      <c r="G14" s="19">
        <f>'Courbe IMC'!D51</f>
        <v>15.246</v>
      </c>
      <c r="H14" s="13">
        <f t="shared" si="0"/>
        <v>14.009837837837839</v>
      </c>
      <c r="I14" s="13">
        <f t="shared" si="1"/>
        <v>12.361621621621621</v>
      </c>
      <c r="J14">
        <f>'Courbe IMC'!D$48</f>
        <v>17.704499999999999</v>
      </c>
      <c r="K14" s="13">
        <f t="shared" si="2"/>
        <v>13.185729729729729</v>
      </c>
      <c r="L14" s="18">
        <f>G14+0.5</f>
        <v>15.746</v>
      </c>
      <c r="M14" s="18">
        <f>L14*16/19</f>
        <v>13.259789473684211</v>
      </c>
      <c r="N14" s="18">
        <f>L14*14.5/19</f>
        <v>12.016684210526316</v>
      </c>
    </row>
    <row r="15" spans="1:14">
      <c r="C15" s="18"/>
      <c r="F15">
        <v>25</v>
      </c>
      <c r="G15" s="13">
        <f>G14-(($G$14-$G$26)/12)</f>
        <v>15.1928</v>
      </c>
      <c r="H15" s="13">
        <f t="shared" si="0"/>
        <v>13.960951351351351</v>
      </c>
      <c r="I15" s="13">
        <f t="shared" si="1"/>
        <v>12.318486486486487</v>
      </c>
      <c r="J15" s="13">
        <f>J14-((J$14-J$26)/12)</f>
        <v>17.673458333333333</v>
      </c>
      <c r="K15" s="13">
        <f t="shared" si="2"/>
        <v>13.13971891891892</v>
      </c>
      <c r="L15" s="18">
        <f>L14-(L14-L26)/12</f>
        <v>15.6928</v>
      </c>
      <c r="M15" s="18">
        <f>M14-(M14-M26)/12</f>
        <v>13.214989473684211</v>
      </c>
      <c r="N15" s="18">
        <f>N14-(N14-N26)/12</f>
        <v>11.976084210526317</v>
      </c>
    </row>
    <row r="16" spans="1:14">
      <c r="A16" t="s">
        <v>407</v>
      </c>
      <c r="C16" s="18"/>
      <c r="F16">
        <v>26</v>
      </c>
      <c r="G16" s="13">
        <f t="shared" ref="G16:G25" si="5">G15-(($G$14-$G$26)/12)</f>
        <v>15.1396</v>
      </c>
      <c r="H16" s="13">
        <f t="shared" si="0"/>
        <v>13.912064864864865</v>
      </c>
      <c r="I16" s="13">
        <f t="shared" si="1"/>
        <v>12.27535135135135</v>
      </c>
      <c r="J16" s="13">
        <f t="shared" ref="J16:J25" si="6">J15-((J$14-J$26)/12)</f>
        <v>17.642416666666666</v>
      </c>
      <c r="K16" s="13">
        <f t="shared" si="2"/>
        <v>13.093708108108109</v>
      </c>
      <c r="L16" s="18">
        <f>L15-(L14-L26)/12</f>
        <v>15.6396</v>
      </c>
      <c r="M16" s="18">
        <f>M15-(M14-M26)/12</f>
        <v>13.170189473684211</v>
      </c>
      <c r="N16" s="18">
        <f>N15-(N14-N26)/12</f>
        <v>11.935484210526317</v>
      </c>
    </row>
    <row r="17" spans="1:14">
      <c r="A17" t="s">
        <v>397</v>
      </c>
      <c r="B17" s="13" t="e">
        <f>((VLOOKUP(D5+1,F:I,4)+(VLOOKUP(D5+2,F:I,4)-VLOOKUP(D5+1,F:I,4))*(E5-D5))*B41+(19+(E5-264)*2/(12*58))*14.5/19*B42*B43+24.8*B44*14.5/19)*B8*B8</f>
        <v>#VALUE!</v>
      </c>
      <c r="C17" s="18" t="e">
        <f>((VLOOKUP(D5+1,F:N,8)+(VLOOKUP(D5+2,F:N,8)-VLOOKUP(D5+1,F:N,8))*(E5-D5))*B41+(L254+(E5-264)*2/(12*58))*14.5/19*B42*B43+(L254+5.8)*B44*14.5/19)*C8*C8</f>
        <v>#VALUE!</v>
      </c>
      <c r="F17">
        <v>27</v>
      </c>
      <c r="G17" s="13">
        <f t="shared" si="5"/>
        <v>15.086399999999999</v>
      </c>
      <c r="H17" s="13">
        <f t="shared" si="0"/>
        <v>13.863178378378377</v>
      </c>
      <c r="I17" s="13">
        <f t="shared" si="1"/>
        <v>12.232216216216216</v>
      </c>
      <c r="J17" s="13">
        <f t="shared" si="6"/>
        <v>17.611374999999999</v>
      </c>
      <c r="K17" s="13">
        <f t="shared" si="2"/>
        <v>13.047697297297297</v>
      </c>
      <c r="L17" s="18">
        <f>L16-(L14-L26)/12</f>
        <v>15.586399999999999</v>
      </c>
      <c r="M17" s="18">
        <f>M16-(M14-M26)/12</f>
        <v>13.12538947368421</v>
      </c>
      <c r="N17" s="18">
        <f>N16-(N14-N26)/12</f>
        <v>11.894884210526318</v>
      </c>
    </row>
    <row r="18" spans="1:14">
      <c r="A18" t="s">
        <v>396</v>
      </c>
      <c r="B18" s="13" t="e">
        <f>((VLOOKUP(D5+1,F:I,3)+(VLOOKUP(D5+2,F:I,3)-VLOOKUP(D5+1,F:I,3))*(E5-D5))*B41+(19+(E5-264)*2/(12*58))*16/19*B42*B43+24.8*B44*16/19)*B8*B8</f>
        <v>#VALUE!</v>
      </c>
      <c r="C18" s="18" t="e">
        <f>((VLOOKUP(D5+1,F:N,7)+(VLOOKUP(D5+2,F:N,7)-VLOOKUP(D5+1,F:N,7))*(E5-D5))*B41+(L254+(E5-264)*2/(12*58))*16/19*B42*B43+(L254+5.8)*B44*16/19)*C8*C8</f>
        <v>#VALUE!</v>
      </c>
      <c r="F18">
        <v>28</v>
      </c>
      <c r="G18" s="13">
        <f t="shared" si="5"/>
        <v>15.033199999999999</v>
      </c>
      <c r="H18" s="13">
        <f t="shared" si="0"/>
        <v>13.814291891891891</v>
      </c>
      <c r="I18" s="13">
        <f t="shared" si="1"/>
        <v>12.189081081081081</v>
      </c>
      <c r="J18" s="13">
        <f t="shared" si="6"/>
        <v>17.580333333333332</v>
      </c>
      <c r="K18" s="13">
        <f t="shared" si="2"/>
        <v>13.001686486486486</v>
      </c>
      <c r="L18" s="18">
        <f>L17-(L14-L26)/12</f>
        <v>15.533199999999999</v>
      </c>
      <c r="M18" s="18">
        <f>M17-(M14-M26)/12</f>
        <v>13.08058947368421</v>
      </c>
      <c r="N18" s="18">
        <f>N17-(N14-N26)/12</f>
        <v>11.854284210526318</v>
      </c>
    </row>
    <row r="19" spans="1:14">
      <c r="A19" t="s">
        <v>406</v>
      </c>
      <c r="B19" s="13" t="e">
        <f>((VLOOKUP(D5+1,F:I,2)+(VLOOKUP(D5+2,F:I,2)-VLOOKUP(D5+1,F:I,2))*(E5-D5))*B41+(G254+(E5-264)*2/(12*58))*B42*B43+(G254+5.8)*B44)*B8*B8</f>
        <v>#VALUE!</v>
      </c>
      <c r="C19" s="18" t="e">
        <f>((VLOOKUP(D5+1,F:N,6)+(VLOOKUP(D5+2,F:N,6)-VLOOKUP(D5+1,F:N,6))*(E5-D5))*B41+(L254+(E5-264)*2/(12*58))*B42*B43+(L254+5.8)*B44)*C8*C8</f>
        <v>#VALUE!</v>
      </c>
      <c r="F19">
        <v>29</v>
      </c>
      <c r="G19" s="13">
        <f t="shared" si="5"/>
        <v>14.979999999999999</v>
      </c>
      <c r="H19" s="13">
        <f t="shared" si="0"/>
        <v>13.765405405405403</v>
      </c>
      <c r="I19" s="13">
        <f t="shared" si="1"/>
        <v>12.145945945945945</v>
      </c>
      <c r="J19" s="13">
        <f t="shared" si="6"/>
        <v>17.549291666666665</v>
      </c>
      <c r="K19" s="13">
        <f t="shared" si="2"/>
        <v>12.955675675675675</v>
      </c>
      <c r="L19" s="18">
        <f>L18-(L14-L26)/12</f>
        <v>15.479999999999999</v>
      </c>
      <c r="M19" s="18">
        <f>M18-(M14-M26)/12</f>
        <v>13.035789473684209</v>
      </c>
      <c r="N19" s="18">
        <f>N18-(N14-N26)/12</f>
        <v>11.813684210526318</v>
      </c>
    </row>
    <row r="20" spans="1:14">
      <c r="C20" s="18"/>
      <c r="F20">
        <v>30</v>
      </c>
      <c r="G20" s="13">
        <f t="shared" si="5"/>
        <v>14.926799999999998</v>
      </c>
      <c r="H20" s="13">
        <f t="shared" si="0"/>
        <v>13.716518918918917</v>
      </c>
      <c r="I20" s="13">
        <f t="shared" si="1"/>
        <v>12.10281081081081</v>
      </c>
      <c r="J20" s="13">
        <f t="shared" si="6"/>
        <v>17.518249999999998</v>
      </c>
      <c r="K20" s="13">
        <f t="shared" si="2"/>
        <v>12.909664864864864</v>
      </c>
      <c r="L20" s="18">
        <f>L19-(L14-L26)/12</f>
        <v>15.426799999999998</v>
      </c>
      <c r="M20" s="18">
        <f>M19-(M14-M26)/12</f>
        <v>12.990989473684209</v>
      </c>
      <c r="N20" s="18">
        <f>N19-(N14-N26)/12</f>
        <v>11.773084210526319</v>
      </c>
    </row>
    <row r="21" spans="1:14">
      <c r="A21" t="s">
        <v>408</v>
      </c>
      <c r="C21" s="18"/>
      <c r="F21">
        <v>31</v>
      </c>
      <c r="G21" s="13">
        <f t="shared" si="5"/>
        <v>14.873599999999998</v>
      </c>
      <c r="H21" s="13">
        <f t="shared" si="0"/>
        <v>13.667632432432431</v>
      </c>
      <c r="I21" s="13">
        <f t="shared" si="1"/>
        <v>12.059675675675674</v>
      </c>
      <c r="J21" s="13">
        <f t="shared" si="6"/>
        <v>17.487208333333331</v>
      </c>
      <c r="K21" s="13">
        <f t="shared" si="2"/>
        <v>12.863654054054052</v>
      </c>
      <c r="L21" s="18">
        <f>L20-(L14-L26)/12</f>
        <v>15.373599999999998</v>
      </c>
      <c r="M21" s="18">
        <f>M20-(M14-M26)/12</f>
        <v>12.946189473684209</v>
      </c>
      <c r="N21" s="18">
        <f>N20-(N14-N26)/12</f>
        <v>11.732484210526319</v>
      </c>
    </row>
    <row r="22" spans="1:14">
      <c r="A22" t="s">
        <v>397</v>
      </c>
      <c r="B22" s="13" t="e">
        <f>((VLOOKUP(D5+2,F:I,4)+(VLOOKUP(D5+3,F:I,4)-VLOOKUP(D5+2,F:I,4))*(E5-D5))*B41+(19+(E5-264)*2/(12*58))*14.5/19*B42*B43+24.8*B44*14.5/19)*B8*B8</f>
        <v>#VALUE!</v>
      </c>
      <c r="C22" s="18" t="e">
        <f>((VLOOKUP(D5+2,F:N,8)+(VLOOKUP(D5+3,F:N,8)-VLOOKUP(D5+2,F:N,8))*(E5-D5))*B41+(L254+(E5-264)*2/(12*58))*14.5/19*B42*B43+(L254+5.8)*B44*14.5/19)*C8*C8</f>
        <v>#VALUE!</v>
      </c>
      <c r="F22">
        <v>32</v>
      </c>
      <c r="G22" s="13">
        <f t="shared" si="5"/>
        <v>14.820399999999998</v>
      </c>
      <c r="H22" s="13">
        <f t="shared" si="0"/>
        <v>13.618745945945944</v>
      </c>
      <c r="I22" s="13">
        <f t="shared" si="1"/>
        <v>12.016540540540538</v>
      </c>
      <c r="J22" s="13">
        <f t="shared" si="6"/>
        <v>17.456166666666665</v>
      </c>
      <c r="K22" s="13">
        <f t="shared" si="2"/>
        <v>12.817643243243241</v>
      </c>
      <c r="L22" s="18">
        <f>L21-(L14-L26)/12</f>
        <v>15.320399999999998</v>
      </c>
      <c r="M22" s="18">
        <f>M21-(M14-M26)/12</f>
        <v>12.901389473684208</v>
      </c>
      <c r="N22" s="18">
        <f>N21-(N14-N26)/12</f>
        <v>11.69188421052632</v>
      </c>
    </row>
    <row r="23" spans="1:14">
      <c r="A23" t="s">
        <v>396</v>
      </c>
      <c r="B23" s="13" t="e">
        <f>((VLOOKUP(D5+2,F:I,3)+(VLOOKUP(D5+3,F:I,3)-VLOOKUP(D5+2,F:I,3))*(E5-D5))*B41+(19+(E5-264)*2/(12*58))*16/19*B42*B43+24.8*B44*16/19)*B8*B8</f>
        <v>#VALUE!</v>
      </c>
      <c r="C23" s="18" t="e">
        <f>((VLOOKUP(D5+2,F:N,7)+(VLOOKUP(D5+3,F:N,7)-VLOOKUP(D5+2,F:N,7))*(E5-D5))*B41+(L254+(E5-264)*2/(12*58))*16/19*B42*B43+(L254+5.8)*B44*16/19)*C8*C8</f>
        <v>#VALUE!</v>
      </c>
      <c r="F23">
        <v>33</v>
      </c>
      <c r="G23" s="13">
        <f t="shared" si="5"/>
        <v>14.767199999999997</v>
      </c>
      <c r="H23" s="13">
        <f t="shared" si="0"/>
        <v>13.569859459459456</v>
      </c>
      <c r="I23" s="13">
        <f t="shared" si="1"/>
        <v>11.973405405405403</v>
      </c>
      <c r="J23" s="13">
        <f t="shared" si="6"/>
        <v>17.425124999999998</v>
      </c>
      <c r="K23" s="13">
        <f t="shared" si="2"/>
        <v>12.77163243243243</v>
      </c>
      <c r="L23" s="18">
        <f>L22-(L14-L26)/12</f>
        <v>15.267199999999997</v>
      </c>
      <c r="M23" s="18">
        <f>M22-(M14-M26)/12</f>
        <v>12.856589473684208</v>
      </c>
      <c r="N23" s="18">
        <f>N22-(N14-N26)/12</f>
        <v>11.65128421052632</v>
      </c>
    </row>
    <row r="24" spans="1:14">
      <c r="A24" t="s">
        <v>406</v>
      </c>
      <c r="B24" s="13" t="e">
        <f>((VLOOKUP(D5+2,F:I,2)+(VLOOKUP(D5+3,F:I,2)-VLOOKUP(D5+2,F:I,2))*(E5-D5))*B41+(G254+(E5-264)*2/(12*58))*B42*B43+(G254+5.8)*B44)*B8*B8</f>
        <v>#VALUE!</v>
      </c>
      <c r="C24" s="18" t="e">
        <f>((VLOOKUP(D5+2,F:N,6)+(VLOOKUP(D5+3,F:N,6)-VLOOKUP(D5+2,F:N,6))*(E5-D5))*B41+(L254+(E5-264)*2/(12*58))*B42*B43+(L254+5.8)*B44)*C8*C8</f>
        <v>#VALUE!</v>
      </c>
      <c r="F24">
        <v>34</v>
      </c>
      <c r="G24" s="13">
        <f t="shared" si="5"/>
        <v>14.713999999999997</v>
      </c>
      <c r="H24" s="13">
        <f t="shared" si="0"/>
        <v>13.52097297297297</v>
      </c>
      <c r="I24" s="13">
        <f t="shared" si="1"/>
        <v>11.930270270270267</v>
      </c>
      <c r="J24" s="13">
        <f t="shared" si="6"/>
        <v>17.394083333333331</v>
      </c>
      <c r="K24" s="13">
        <f t="shared" si="2"/>
        <v>12.725621621621618</v>
      </c>
      <c r="L24" s="18">
        <f>L23-(L14-L26)/12</f>
        <v>15.213999999999997</v>
      </c>
      <c r="M24" s="18">
        <f>M23-(M14-M26)/12</f>
        <v>12.811789473684208</v>
      </c>
      <c r="N24" s="18">
        <f>N23-(N14-N26)/12</f>
        <v>11.610684210526321</v>
      </c>
    </row>
    <row r="25" spans="1:14">
      <c r="C25" s="18"/>
      <c r="F25">
        <v>35</v>
      </c>
      <c r="G25" s="13">
        <f t="shared" si="5"/>
        <v>14.660799999999997</v>
      </c>
      <c r="H25" s="13">
        <f t="shared" si="0"/>
        <v>13.472086486486484</v>
      </c>
      <c r="I25" s="13">
        <f t="shared" si="1"/>
        <v>11.887135135135132</v>
      </c>
      <c r="J25" s="13">
        <f t="shared" si="6"/>
        <v>17.363041666666664</v>
      </c>
      <c r="K25" s="13">
        <f t="shared" si="2"/>
        <v>12.679610810810807</v>
      </c>
      <c r="L25" s="18">
        <f>L24-(L14-L26)/12</f>
        <v>15.160799999999997</v>
      </c>
      <c r="M25" s="18">
        <f>M24-(M14-M26)/12</f>
        <v>12.766989473684207</v>
      </c>
      <c r="N25" s="18">
        <f>N24-(N14-N26)/12</f>
        <v>11.570084210526321</v>
      </c>
    </row>
    <row r="26" spans="1:14">
      <c r="A26" t="s">
        <v>409</v>
      </c>
      <c r="C26" s="18"/>
      <c r="E26">
        <v>3</v>
      </c>
      <c r="F26">
        <v>36</v>
      </c>
      <c r="G26" s="19">
        <f>'Courbe IMC'!E$51</f>
        <v>14.6076</v>
      </c>
      <c r="H26" s="13">
        <f t="shared" si="0"/>
        <v>13.4232</v>
      </c>
      <c r="I26" s="13">
        <f t="shared" si="1"/>
        <v>11.843999999999999</v>
      </c>
      <c r="J26">
        <f>'Courbe IMC'!E$48</f>
        <v>17.332000000000001</v>
      </c>
      <c r="K26" s="13">
        <f t="shared" si="2"/>
        <v>12.633599999999999</v>
      </c>
      <c r="L26" s="18">
        <f>G26+0.5</f>
        <v>15.1076</v>
      </c>
      <c r="M26" s="18">
        <f>L26*16/19</f>
        <v>12.72218947368421</v>
      </c>
      <c r="N26" s="18">
        <f>L26*14.5/19</f>
        <v>11.529484210526316</v>
      </c>
    </row>
    <row r="27" spans="1:14">
      <c r="A27" t="s">
        <v>397</v>
      </c>
      <c r="B27" s="13" t="e">
        <f>((VLOOKUP(D5+3,F:I,4)+(VLOOKUP(D5+4,F:I,4)-VLOOKUP(D5+3,F:I,4))*(E5-D5))*B41+(19.025+(E5-264)*2/(12*58))*14.5/19*B42*B43+24.825*B44*14.5/19)*B8*B8</f>
        <v>#VALUE!</v>
      </c>
      <c r="C27" s="18" t="e">
        <f>((VLOOKUP(D5+3,F:N,8)+(VLOOKUP(D5+4,F:N,8)-VLOOKUP(D5+3,F:N,8))*(E5-D5))*B41+(L254+0.025+(E5-264)*2/(12*58))*14.5/19*B42*B43+(L254+5.825)*B44*14.5/19)*C8*C8</f>
        <v>#VALUE!</v>
      </c>
      <c r="F27">
        <v>37</v>
      </c>
      <c r="G27" s="13">
        <f>G26-((G$26-G$38)/12)</f>
        <v>14.582924999999999</v>
      </c>
      <c r="H27" s="13">
        <f t="shared" si="0"/>
        <v>13.400525675675675</v>
      </c>
      <c r="I27" s="13">
        <f t="shared" si="1"/>
        <v>11.823993243243244</v>
      </c>
      <c r="J27" s="13">
        <f>J26-((J$26-J$38)/12)</f>
        <v>17.309058333333333</v>
      </c>
      <c r="K27" s="13">
        <f t="shared" si="2"/>
        <v>12.612259459459459</v>
      </c>
      <c r="L27" s="18">
        <f>L26-(L26-L38)/12</f>
        <v>15.082924999999999</v>
      </c>
      <c r="M27" s="18">
        <f>M26-(M26-M38)/12</f>
        <v>12.70141052631579</v>
      </c>
      <c r="N27" s="18">
        <f>N26-(N26-N38)/12</f>
        <v>11.510653289473685</v>
      </c>
    </row>
    <row r="28" spans="1:14">
      <c r="A28" t="s">
        <v>396</v>
      </c>
      <c r="B28" s="13" t="e">
        <f>((VLOOKUP(D5+3,F:I,3)+(VLOOKUP(D5+4,F:I,3)-VLOOKUP(D5+3,F:I,3))*(E5-D5))*B41+(19.025+(E5-264)*2/(12*58))*16/19*B42*B43+24.825*B44*16/19)*B8*B8</f>
        <v>#VALUE!</v>
      </c>
      <c r="C28" s="18" t="e">
        <f>((VLOOKUP(D5+3,F:N,7)+(VLOOKUP(D5+4,F:N,7)-VLOOKUP(D5+3,F:N,7))*(E5-D5))*B41+(L254+0.025+(E5-264)*2/(12*58))*16/19*B42*B43+(L254+5.825)*B44*16/19)*C8*C8</f>
        <v>#VALUE!</v>
      </c>
      <c r="F28">
        <v>38</v>
      </c>
      <c r="G28" s="13">
        <f t="shared" ref="G28:G37" si="7">G27-((G$26-G$38)/12)</f>
        <v>14.558249999999999</v>
      </c>
      <c r="H28" s="13">
        <f t="shared" si="0"/>
        <v>13.37785135135135</v>
      </c>
      <c r="I28" s="13">
        <f t="shared" si="1"/>
        <v>11.803986486486487</v>
      </c>
      <c r="J28" s="13">
        <f t="shared" ref="J28:J37" si="8">J27-((J$26-J$38)/12)</f>
        <v>17.286116666666665</v>
      </c>
      <c r="K28" s="13">
        <f t="shared" si="2"/>
        <v>12.590918918918918</v>
      </c>
      <c r="L28" s="18">
        <f>L27-(L26-L38)/12</f>
        <v>15.058249999999999</v>
      </c>
      <c r="M28" s="18">
        <f>M27-(M26-M38)/12</f>
        <v>12.68063157894737</v>
      </c>
      <c r="N28" s="18">
        <f>N27-(N26-N38)/12</f>
        <v>11.491822368421055</v>
      </c>
    </row>
    <row r="29" spans="1:14">
      <c r="A29" t="s">
        <v>406</v>
      </c>
      <c r="B29" s="13" t="e">
        <f>((VLOOKUP(D5+3,F:I,2)+(VLOOKUP(D5+4,F:I,2)-VLOOKUP(D5+3,F:I,2))*(E5-D5))*B41+(G254+0.025+(E5-264)*2/(12*58))*B42*B43+(G254+5.825)*B44)*B8*B8</f>
        <v>#VALUE!</v>
      </c>
      <c r="C29" s="18" t="e">
        <f>((VLOOKUP(D5+3,F:N,6)+(VLOOKUP(D5+4,F:N,6)-VLOOKUP(D5+3,F:N,6))*(E5-D5))*B41+(L254+0.025+(E5-264)*2/(12*58))*B42*B43+(L254+5.825)*B44)*C8*C8</f>
        <v>#VALUE!</v>
      </c>
      <c r="F29">
        <v>39</v>
      </c>
      <c r="G29" s="13">
        <f t="shared" si="7"/>
        <v>14.533574999999999</v>
      </c>
      <c r="H29" s="13">
        <f t="shared" si="0"/>
        <v>13.355177027027025</v>
      </c>
      <c r="I29" s="13">
        <f t="shared" si="1"/>
        <v>11.78397972972973</v>
      </c>
      <c r="J29" s="13">
        <f t="shared" si="8"/>
        <v>17.263174999999997</v>
      </c>
      <c r="K29" s="13">
        <f t="shared" si="2"/>
        <v>12.569578378378377</v>
      </c>
      <c r="L29" s="18">
        <f>L28-(L26-L38)/12</f>
        <v>15.033574999999999</v>
      </c>
      <c r="M29" s="18">
        <f>M28-(M26-M38)/12</f>
        <v>12.65985263157895</v>
      </c>
      <c r="N29" s="18">
        <f>N28-(N26-N38)/12</f>
        <v>11.472991447368424</v>
      </c>
    </row>
    <row r="30" spans="1:14">
      <c r="C30" s="18"/>
      <c r="F30">
        <v>40</v>
      </c>
      <c r="G30" s="13">
        <f t="shared" si="7"/>
        <v>14.508899999999999</v>
      </c>
      <c r="H30" s="13">
        <f t="shared" si="0"/>
        <v>13.332502702702703</v>
      </c>
      <c r="I30" s="13">
        <f t="shared" si="1"/>
        <v>11.763972972972971</v>
      </c>
      <c r="J30" s="13">
        <f t="shared" si="8"/>
        <v>17.240233333333329</v>
      </c>
      <c r="K30" s="13">
        <f t="shared" si="2"/>
        <v>12.548237837837837</v>
      </c>
      <c r="L30" s="18">
        <f>L29-(L26-L38)/12</f>
        <v>15.008899999999999</v>
      </c>
      <c r="M30" s="18">
        <f>M29-(M26-M38)/12</f>
        <v>12.63907368421053</v>
      </c>
      <c r="N30" s="18">
        <f>N29-(N26-N38)/12</f>
        <v>11.454160526315793</v>
      </c>
    </row>
    <row r="31" spans="1:14">
      <c r="A31" t="s">
        <v>410</v>
      </c>
      <c r="C31" s="18"/>
      <c r="F31">
        <v>41</v>
      </c>
      <c r="G31" s="13">
        <f t="shared" si="7"/>
        <v>14.484224999999999</v>
      </c>
      <c r="H31" s="13">
        <f t="shared" si="0"/>
        <v>13.309828378378377</v>
      </c>
      <c r="I31" s="13">
        <f t="shared" si="1"/>
        <v>11.743966216216215</v>
      </c>
      <c r="J31" s="13">
        <f t="shared" si="8"/>
        <v>17.217291666666661</v>
      </c>
      <c r="K31" s="13">
        <f t="shared" si="2"/>
        <v>12.526897297297296</v>
      </c>
      <c r="L31" s="18">
        <f>L30-(L26-L38)/12</f>
        <v>14.984224999999999</v>
      </c>
      <c r="M31" s="18">
        <f>M30-(M26-M38)/12</f>
        <v>12.61829473684211</v>
      </c>
      <c r="N31" s="18">
        <f>N30-(N26-N38)/12</f>
        <v>11.435329605263162</v>
      </c>
    </row>
    <row r="32" spans="1:14">
      <c r="A32" t="s">
        <v>397</v>
      </c>
      <c r="B32" s="13" t="e">
        <f>((VLOOKUP(D5+4,F:I,4)+(VLOOKUP(D5+5,F:I,4)-VLOOKUP(D5+4,F:I,4))*(E5-D5))*B41+(19.025+(E5-264)*2/(12*58))*14.5/19*B42*B43+24.825*B44*14.5/19)*B8*B8</f>
        <v>#VALUE!</v>
      </c>
      <c r="C32" s="18" t="e">
        <f>((VLOOKUP(D5+4,F:N,8)+(VLOOKUP(D5+5,F:N,8)-VLOOKUP(D5+4,F:N,8))*(E5-D5))*B41+(L254+0.025+(E5-264)*2/(12*58))*14.5/19*B42*B43+(L254+5.825)*B44*14.5/19)*C8*C8</f>
        <v>#VALUE!</v>
      </c>
      <c r="F32">
        <v>42</v>
      </c>
      <c r="G32" s="13">
        <f t="shared" si="7"/>
        <v>14.459549999999998</v>
      </c>
      <c r="H32" s="13">
        <f t="shared" si="0"/>
        <v>13.287154054054053</v>
      </c>
      <c r="I32" s="13">
        <f t="shared" si="1"/>
        <v>11.723959459459458</v>
      </c>
      <c r="J32" s="13">
        <f t="shared" si="8"/>
        <v>17.194349999999993</v>
      </c>
      <c r="K32" s="13">
        <f t="shared" si="2"/>
        <v>12.505556756756755</v>
      </c>
      <c r="L32" s="18">
        <f>L31-(L26-L38)/12</f>
        <v>14.959549999999998</v>
      </c>
      <c r="M32" s="18">
        <f>M31-(M26-M38)/12</f>
        <v>12.59751578947369</v>
      </c>
      <c r="N32" s="18">
        <f>N31-(N26-N38)/12</f>
        <v>11.416498684210531</v>
      </c>
    </row>
    <row r="33" spans="1:14">
      <c r="A33" t="s">
        <v>396</v>
      </c>
      <c r="B33" s="13" t="e">
        <f>((VLOOKUP(D5+4,F:I,3)+(VLOOKUP(D5+5,F:I,3)-VLOOKUP(D5+4,F:I,3))*(E5-D5))*B41+(19.025+(E5-264)*2/(12*58))*16/19*B42*B43+24.825*B44*16/19)*B8*B8</f>
        <v>#VALUE!</v>
      </c>
      <c r="C33" s="18" t="e">
        <f>((VLOOKUP(D5+4,F:N,7)+(VLOOKUP(D5+5,F:N,7)-VLOOKUP(D5+4,F:N,7))*(E5-D5))*B41+(L254+0.025+(E5-264)*2/(12*58))*16/19*B42*B43+(L254+5.825)*B44*16/19)*C8*C8</f>
        <v>#VALUE!</v>
      </c>
      <c r="F33">
        <v>43</v>
      </c>
      <c r="G33" s="13">
        <f t="shared" si="7"/>
        <v>14.434874999999998</v>
      </c>
      <c r="H33" s="13">
        <f t="shared" si="0"/>
        <v>13.264479729729729</v>
      </c>
      <c r="I33" s="13">
        <f t="shared" si="1"/>
        <v>11.703952702702701</v>
      </c>
      <c r="J33" s="13">
        <f t="shared" si="8"/>
        <v>17.171408333333325</v>
      </c>
      <c r="K33" s="13">
        <f t="shared" si="2"/>
        <v>12.484216216216215</v>
      </c>
      <c r="L33" s="18">
        <f>L32-(L26-L38)/12</f>
        <v>14.934874999999998</v>
      </c>
      <c r="M33" s="18">
        <f>M32-(M26-M38)/12</f>
        <v>12.576736842105269</v>
      </c>
      <c r="N33" s="18">
        <f>N32-(N26-N38)/12</f>
        <v>11.3976677631579</v>
      </c>
    </row>
    <row r="34" spans="1:14">
      <c r="A34" t="s">
        <v>406</v>
      </c>
      <c r="B34" s="13" t="e">
        <f>((VLOOKUP(D5+4,F:I,2)+(VLOOKUP(D5+5,F:I,2)-VLOOKUP(D5+4,F:I,2))*(E5-D5))*B41+(G254+0.025+(E5-264)*2/(12*58))*B42*B43+(G254+5.825)*B44)*B8*B8</f>
        <v>#VALUE!</v>
      </c>
      <c r="C34" s="18" t="e">
        <f>((VLOOKUP(D5+4,F:N,6)+(VLOOKUP(D5+5,F:N,6)-VLOOKUP(D5+4,F:N,6))*(E5-D5))*B41+(L254+0.025+(E5-264)*2/(12*58))*B42*B43+(L254+5.825)*B44)*C8*C8</f>
        <v>#VALUE!</v>
      </c>
      <c r="F34">
        <v>44</v>
      </c>
      <c r="G34" s="13">
        <f t="shared" si="7"/>
        <v>14.410199999999998</v>
      </c>
      <c r="H34" s="13">
        <f t="shared" si="0"/>
        <v>13.241805405405405</v>
      </c>
      <c r="I34" s="13">
        <f t="shared" si="1"/>
        <v>11.683945945945943</v>
      </c>
      <c r="J34" s="13">
        <f t="shared" si="8"/>
        <v>17.148466666666657</v>
      </c>
      <c r="K34" s="13">
        <f t="shared" si="2"/>
        <v>12.462875675675674</v>
      </c>
      <c r="L34" s="18">
        <f>L33-(L26-L38)/12</f>
        <v>14.910199999999998</v>
      </c>
      <c r="M34" s="18">
        <f>M33-(M26-M38)/12</f>
        <v>12.555957894736849</v>
      </c>
      <c r="N34" s="18">
        <f>N33-(N26-N38)/12</f>
        <v>11.378836842105269</v>
      </c>
    </row>
    <row r="35" spans="1:14">
      <c r="C35" s="18"/>
      <c r="F35">
        <v>45</v>
      </c>
      <c r="G35" s="13">
        <f t="shared" si="7"/>
        <v>14.385524999999998</v>
      </c>
      <c r="H35" s="13">
        <f t="shared" si="0"/>
        <v>13.219131081081079</v>
      </c>
      <c r="I35" s="13">
        <f t="shared" si="1"/>
        <v>11.663939189189188</v>
      </c>
      <c r="J35" s="13">
        <f t="shared" si="8"/>
        <v>17.125524999999989</v>
      </c>
      <c r="K35" s="13">
        <f t="shared" si="2"/>
        <v>12.441535135135133</v>
      </c>
      <c r="L35" s="18">
        <f>L34-(L26-L38)/12</f>
        <v>14.885524999999998</v>
      </c>
      <c r="M35" s="18">
        <f>M34-(M26-M38)/12</f>
        <v>12.535178947368429</v>
      </c>
      <c r="N35" s="18">
        <f>N34-(N26-N38)/12</f>
        <v>11.360005921052638</v>
      </c>
    </row>
    <row r="36" spans="1:14">
      <c r="A36" t="s">
        <v>411</v>
      </c>
      <c r="C36" s="18"/>
      <c r="F36">
        <v>46</v>
      </c>
      <c r="G36" s="13">
        <f t="shared" si="7"/>
        <v>14.360849999999997</v>
      </c>
      <c r="H36" s="13">
        <f t="shared" si="0"/>
        <v>13.196456756756755</v>
      </c>
      <c r="I36" s="13">
        <f t="shared" si="1"/>
        <v>11.643932432432431</v>
      </c>
      <c r="J36" s="13">
        <f t="shared" si="8"/>
        <v>17.102583333333321</v>
      </c>
      <c r="K36" s="13">
        <f t="shared" si="2"/>
        <v>12.420194594594593</v>
      </c>
      <c r="L36" s="18">
        <f>L35-(L26-L38)/12</f>
        <v>14.860849999999997</v>
      </c>
      <c r="M36" s="18">
        <f>M35-(M26-M38)/12</f>
        <v>12.514400000000009</v>
      </c>
      <c r="N36" s="18">
        <f>N35-(N26-N38)/12</f>
        <v>11.341175000000007</v>
      </c>
    </row>
    <row r="37" spans="1:14">
      <c r="A37" t="s">
        <v>397</v>
      </c>
      <c r="B37" s="13" t="e">
        <f>((VLOOKUP(D5+5,F:I,4)+(VLOOKUP(D5+6,F:I,4)-VLOOKUP(D5+5,F:I,4))*(E5-D5))*B41+(19.025+(D5-264)*2/(12*58))*14.5/19*B42*B43+24.825*B44*14.5/19)*B8*B8</f>
        <v>#VALUE!</v>
      </c>
      <c r="C37" s="18" t="e">
        <f>((VLOOKUP(D5+5,F:N,8)+(VLOOKUP(D5+6,F:N,8)-VLOOKUP(D5+5,F:N,8))*(E5-D5))*B41+(L254+0.025+(E5-264)*2/(12*58))*14.5/19*B42*B43+(L254+5.825)*B44*14.5/19)*C8*C8</f>
        <v>#VALUE!</v>
      </c>
      <c r="F37">
        <v>47</v>
      </c>
      <c r="G37" s="13">
        <f t="shared" si="7"/>
        <v>14.336174999999997</v>
      </c>
      <c r="H37" s="13">
        <f t="shared" si="0"/>
        <v>13.17378243243243</v>
      </c>
      <c r="I37" s="13">
        <f t="shared" si="1"/>
        <v>11.623925675675673</v>
      </c>
      <c r="J37" s="13">
        <f t="shared" si="8"/>
        <v>17.079641666666653</v>
      </c>
      <c r="K37" s="13">
        <f t="shared" si="2"/>
        <v>12.398854054054052</v>
      </c>
      <c r="L37" s="18">
        <f>L36-(L26-L38)/12</f>
        <v>14.836174999999997</v>
      </c>
      <c r="M37" s="18">
        <f>M36-(M26-M38)/12</f>
        <v>12.493621052631589</v>
      </c>
      <c r="N37" s="18">
        <f>N36-(N26-N38)/12</f>
        <v>11.322344078947376</v>
      </c>
    </row>
    <row r="38" spans="1:14">
      <c r="A38" t="s">
        <v>396</v>
      </c>
      <c r="B38" s="13" t="e">
        <f>((VLOOKUP(D5+5,F:I,3)+(VLOOKUP(D5+6,F:I,3)-VLOOKUP(D5+5,F:I,3))*(E5-D5))*B41+(19.025+(E5-264)*2/(12*58))*16/19*B42*B43+24.825*B44*16/19)*B8*B8</f>
        <v>#VALUE!</v>
      </c>
      <c r="C38" s="18" t="e">
        <f>((VLOOKUP(D5+5,F:N,7)+(VLOOKUP(D5+6,F:N,7)-VLOOKUP(D5+5,F:N,7))*(E5-D5))*B41+(L254+0.025+(E5-264)*2/(12*58))*16/19*B42*B43+(L254+5.825)*B44*16/19)*C8*C8</f>
        <v>#VALUE!</v>
      </c>
      <c r="E38">
        <v>4</v>
      </c>
      <c r="F38">
        <v>48</v>
      </c>
      <c r="G38" s="19">
        <f>'Courbe IMC'!F$51</f>
        <v>14.311500000000001</v>
      </c>
      <c r="H38" s="13">
        <f t="shared" si="0"/>
        <v>13.151108108108108</v>
      </c>
      <c r="I38" s="13">
        <f t="shared" si="1"/>
        <v>11.60391891891892</v>
      </c>
      <c r="J38">
        <f>'Courbe IMC'!F$48</f>
        <v>17.056700000000003</v>
      </c>
      <c r="K38" s="13">
        <f t="shared" si="2"/>
        <v>12.377513513513515</v>
      </c>
      <c r="L38" s="18">
        <f>G38+0.5</f>
        <v>14.811500000000001</v>
      </c>
      <c r="M38" s="18">
        <f>L38*16/19</f>
        <v>12.472842105263158</v>
      </c>
      <c r="N38" s="18">
        <f>L38*14.5/19</f>
        <v>11.303513157894736</v>
      </c>
    </row>
    <row r="39" spans="1:14">
      <c r="A39" t="s">
        <v>406</v>
      </c>
      <c r="B39" s="13" t="e">
        <f>((VLOOKUP(D5+5,F:I,2)+(VLOOKUP(D5+6,F:I,2)-VLOOKUP(D5+5,F:I,2))*(E5-D5))*B41+(G254+0.025+(E5-264)*2/(12*58))*B42*B43+(G254+5.825)*B44)*B8*B8</f>
        <v>#VALUE!</v>
      </c>
      <c r="C39" s="18" t="e">
        <f>((VLOOKUP(D5+5,F:N,6)+(VLOOKUP(D5+6,F:N,6)-VLOOKUP(D5+5,F:N,6))*(E5-D5))*B41+(L254+0.025+(E5-264)*2/(12*58))*B42*B43+(L254+5.825)*B44)*C8*C8</f>
        <v>#VALUE!</v>
      </c>
      <c r="F39">
        <v>49</v>
      </c>
      <c r="G39" s="13">
        <f>G38-((G$38-G$50)/12)</f>
        <v>14.29505</v>
      </c>
      <c r="H39" s="13">
        <f t="shared" si="0"/>
        <v>13.135991891891893</v>
      </c>
      <c r="I39" s="13">
        <f t="shared" si="1"/>
        <v>11.59058108108108</v>
      </c>
      <c r="J39" s="13">
        <f>J38-((J$38-J$50)/12)</f>
        <v>17.043902083333336</v>
      </c>
      <c r="K39" s="13">
        <f t="shared" si="2"/>
        <v>12.363286486486487</v>
      </c>
      <c r="L39" s="18">
        <f>L38-(L38-L50)/12</f>
        <v>14.79505</v>
      </c>
      <c r="M39" s="18">
        <f>M38-(M38-M50)/12</f>
        <v>12.458989473684211</v>
      </c>
      <c r="N39" s="18">
        <f>N38-(N38-N50)/12</f>
        <v>11.290959210526315</v>
      </c>
    </row>
    <row r="40" spans="1:14">
      <c r="F40">
        <v>50</v>
      </c>
      <c r="G40" s="13">
        <f t="shared" ref="G40:G49" si="9">G39-((G$38-G$50)/12)</f>
        <v>14.278599999999999</v>
      </c>
      <c r="H40" s="13">
        <f t="shared" si="0"/>
        <v>13.120875675675675</v>
      </c>
      <c r="I40" s="13">
        <f t="shared" si="1"/>
        <v>11.577243243243242</v>
      </c>
      <c r="J40" s="13">
        <f t="shared" ref="J40:J49" si="10">J39-((J$38-J$50)/12)</f>
        <v>17.031104166666669</v>
      </c>
      <c r="K40" s="13">
        <f t="shared" si="2"/>
        <v>12.349059459459459</v>
      </c>
      <c r="L40" s="18">
        <f>L39-(L38-L50)/12</f>
        <v>14.778599999999999</v>
      </c>
      <c r="M40" s="18">
        <f>M39-(M38-M50)/12</f>
        <v>12.445136842105263</v>
      </c>
      <c r="N40" s="18">
        <f>N39-(N38-N50)/12</f>
        <v>11.278405263157895</v>
      </c>
    </row>
    <row r="41" spans="1:14">
      <c r="A41" t="s">
        <v>419</v>
      </c>
      <c r="B41" t="e">
        <f>IF(D5/12&lt;22,1,0)</f>
        <v>#VALUE!</v>
      </c>
      <c r="F41">
        <v>51</v>
      </c>
      <c r="G41" s="13">
        <f t="shared" si="9"/>
        <v>14.262149999999998</v>
      </c>
      <c r="H41" s="13">
        <f t="shared" si="0"/>
        <v>13.105759459459458</v>
      </c>
      <c r="I41" s="13">
        <f t="shared" si="1"/>
        <v>11.563905405405404</v>
      </c>
      <c r="J41" s="13">
        <f t="shared" si="10"/>
        <v>17.018306250000002</v>
      </c>
      <c r="K41" s="13">
        <f t="shared" si="2"/>
        <v>12.334832432432432</v>
      </c>
      <c r="L41" s="18">
        <f>L40-(L38-L50)/12</f>
        <v>14.762149999999998</v>
      </c>
      <c r="M41" s="18">
        <f>M40-(M38-M50)/12</f>
        <v>12.431284210526316</v>
      </c>
      <c r="N41" s="18">
        <f>N40-(N38-N50)/12</f>
        <v>11.265851315789474</v>
      </c>
    </row>
    <row r="42" spans="1:14">
      <c r="A42" t="s">
        <v>418</v>
      </c>
      <c r="B42" t="e">
        <f>IF(D5/12&gt;=22,1,0)</f>
        <v>#VALUE!</v>
      </c>
      <c r="F42">
        <v>52</v>
      </c>
      <c r="G42" s="13">
        <f t="shared" si="9"/>
        <v>14.245699999999998</v>
      </c>
      <c r="H42" s="13">
        <f t="shared" si="0"/>
        <v>13.090643243243241</v>
      </c>
      <c r="I42" s="13">
        <f t="shared" si="1"/>
        <v>11.550567567567565</v>
      </c>
      <c r="J42" s="13">
        <f t="shared" si="10"/>
        <v>17.005508333333335</v>
      </c>
      <c r="K42" s="13">
        <f t="shared" si="2"/>
        <v>12.320605405405404</v>
      </c>
      <c r="L42" s="18">
        <f>L41-(L38-L50)/12</f>
        <v>14.745699999999998</v>
      </c>
      <c r="M42" s="18">
        <f>M41-(M38-M50)/12</f>
        <v>12.417431578947369</v>
      </c>
      <c r="N42" s="18">
        <f>N41-(N38-N50)/12</f>
        <v>11.253297368421054</v>
      </c>
    </row>
    <row r="43" spans="1:14">
      <c r="A43" t="s">
        <v>417</v>
      </c>
      <c r="B43" t="e">
        <f>IF(D5/12&lt;=80,1,0)</f>
        <v>#VALUE!</v>
      </c>
      <c r="F43">
        <v>53</v>
      </c>
      <c r="G43" s="13">
        <f t="shared" si="9"/>
        <v>14.229249999999997</v>
      </c>
      <c r="H43" s="13">
        <f t="shared" si="0"/>
        <v>13.075527027027025</v>
      </c>
      <c r="I43" s="13">
        <f t="shared" si="1"/>
        <v>11.537229729729727</v>
      </c>
      <c r="J43" s="13">
        <f t="shared" si="10"/>
        <v>16.992710416666668</v>
      </c>
      <c r="K43" s="13">
        <f t="shared" si="2"/>
        <v>12.306378378378376</v>
      </c>
      <c r="L43" s="18">
        <f>L42-(L38-L50)/12</f>
        <v>14.729249999999997</v>
      </c>
      <c r="M43" s="18">
        <f>M42-(M38-M50)/12</f>
        <v>12.403578947368421</v>
      </c>
      <c r="N43" s="18">
        <f>N42-(N38-N50)/12</f>
        <v>11.240743421052633</v>
      </c>
    </row>
    <row r="44" spans="1:14">
      <c r="A44" t="s">
        <v>416</v>
      </c>
      <c r="B44" t="e">
        <f>IF(D5/12&gt;80,1,0)</f>
        <v>#VALUE!</v>
      </c>
      <c r="F44">
        <v>54</v>
      </c>
      <c r="G44" s="13">
        <f t="shared" si="9"/>
        <v>14.212799999999996</v>
      </c>
      <c r="H44" s="13">
        <f t="shared" si="0"/>
        <v>13.060410810810806</v>
      </c>
      <c r="I44" s="13">
        <f t="shared" si="1"/>
        <v>11.523891891891889</v>
      </c>
      <c r="J44" s="13">
        <f t="shared" si="10"/>
        <v>16.979912500000001</v>
      </c>
      <c r="K44" s="13">
        <f t="shared" si="2"/>
        <v>12.292151351351349</v>
      </c>
      <c r="L44" s="18">
        <f>L43-(L38-L50)/12</f>
        <v>14.712799999999996</v>
      </c>
      <c r="M44" s="18">
        <f>M43-(M38-M50)/12</f>
        <v>12.389726315789474</v>
      </c>
      <c r="N44" s="18">
        <f>N43-(N38-N50)/12</f>
        <v>11.228189473684212</v>
      </c>
    </row>
    <row r="45" spans="1:14">
      <c r="F45">
        <v>55</v>
      </c>
      <c r="G45" s="13">
        <f t="shared" si="9"/>
        <v>14.196349999999995</v>
      </c>
      <c r="H45" s="13">
        <f t="shared" si="0"/>
        <v>13.045294594594591</v>
      </c>
      <c r="I45" s="13">
        <f t="shared" si="1"/>
        <v>11.510554054054051</v>
      </c>
      <c r="J45" s="13">
        <f t="shared" si="10"/>
        <v>16.967114583333334</v>
      </c>
      <c r="K45" s="13">
        <f t="shared" si="2"/>
        <v>12.277924324324321</v>
      </c>
      <c r="L45" s="18">
        <f>L44-(L38-L50)/12</f>
        <v>14.696349999999995</v>
      </c>
      <c r="M45" s="18">
        <f>M44-(M38-M50)/12</f>
        <v>12.375873684210527</v>
      </c>
      <c r="N45" s="18">
        <f>N44-(N38-N50)/12</f>
        <v>11.215635526315792</v>
      </c>
    </row>
    <row r="46" spans="1:14">
      <c r="F46">
        <v>56</v>
      </c>
      <c r="G46" s="13">
        <f t="shared" si="9"/>
        <v>14.179899999999995</v>
      </c>
      <c r="H46" s="13">
        <f t="shared" si="0"/>
        <v>13.030178378378373</v>
      </c>
      <c r="I46" s="13">
        <f t="shared" si="1"/>
        <v>11.497216216216211</v>
      </c>
      <c r="J46" s="13">
        <f t="shared" si="10"/>
        <v>16.954316666666667</v>
      </c>
      <c r="K46" s="13">
        <f t="shared" si="2"/>
        <v>12.263697297297293</v>
      </c>
      <c r="L46" s="18">
        <f>L45-(L38-L50)/12</f>
        <v>14.679899999999995</v>
      </c>
      <c r="M46" s="18">
        <f>M45-(M38-M50)/12</f>
        <v>12.362021052631579</v>
      </c>
      <c r="N46" s="18">
        <f>N45-(N38-N50)/12</f>
        <v>11.203081578947371</v>
      </c>
    </row>
    <row r="47" spans="1:14">
      <c r="F47">
        <v>57</v>
      </c>
      <c r="G47" s="13">
        <f t="shared" si="9"/>
        <v>14.163449999999994</v>
      </c>
      <c r="H47" s="13">
        <f t="shared" si="0"/>
        <v>13.015062162162156</v>
      </c>
      <c r="I47" s="13">
        <f t="shared" si="1"/>
        <v>11.483878378378375</v>
      </c>
      <c r="J47" s="13">
        <f t="shared" si="10"/>
        <v>16.94151875</v>
      </c>
      <c r="K47" s="13">
        <f t="shared" si="2"/>
        <v>12.249470270270265</v>
      </c>
      <c r="L47" s="18">
        <f>L46-(L38-L50)/12</f>
        <v>14.663449999999994</v>
      </c>
      <c r="M47" s="18">
        <f>M46-(M38-M50)/12</f>
        <v>12.348168421052632</v>
      </c>
      <c r="N47" s="18">
        <f>N46-(N38-N50)/12</f>
        <v>11.19052763157895</v>
      </c>
    </row>
    <row r="48" spans="1:14">
      <c r="F48">
        <v>58</v>
      </c>
      <c r="G48" s="13">
        <f t="shared" si="9"/>
        <v>14.146999999999993</v>
      </c>
      <c r="H48" s="13">
        <f t="shared" si="0"/>
        <v>12.999945945945939</v>
      </c>
      <c r="I48" s="13">
        <f t="shared" si="1"/>
        <v>11.470540540540535</v>
      </c>
      <c r="J48" s="13">
        <f t="shared" si="10"/>
        <v>16.928720833333333</v>
      </c>
      <c r="K48" s="13">
        <f t="shared" si="2"/>
        <v>12.235243243243238</v>
      </c>
      <c r="L48" s="18">
        <f>L47-(L38-L50)/12</f>
        <v>14.646999999999993</v>
      </c>
      <c r="M48" s="18">
        <f>M47-(M38-M50)/12</f>
        <v>12.334315789473685</v>
      </c>
      <c r="N48" s="18">
        <f>N47-(N38-N50)/12</f>
        <v>11.17797368421053</v>
      </c>
    </row>
    <row r="49" spans="5:14">
      <c r="F49">
        <v>59</v>
      </c>
      <c r="G49" s="13">
        <f t="shared" si="9"/>
        <v>14.130549999999992</v>
      </c>
      <c r="H49" s="13">
        <f t="shared" si="0"/>
        <v>12.984829729729723</v>
      </c>
      <c r="I49" s="13">
        <f t="shared" si="1"/>
        <v>11.457202702702697</v>
      </c>
      <c r="J49" s="13">
        <f t="shared" si="10"/>
        <v>16.915922916666666</v>
      </c>
      <c r="K49" s="13">
        <f t="shared" si="2"/>
        <v>12.22101621621621</v>
      </c>
      <c r="L49" s="18">
        <f>L48-(L38-L50)/12</f>
        <v>14.630549999999992</v>
      </c>
      <c r="M49" s="18">
        <f>M48-(M38-M50)/12</f>
        <v>12.320463157894737</v>
      </c>
      <c r="N49" s="18">
        <f>N48-(N38-N50)/12</f>
        <v>11.165419736842109</v>
      </c>
    </row>
    <row r="50" spans="5:14">
      <c r="E50">
        <v>5</v>
      </c>
      <c r="F50">
        <v>60</v>
      </c>
      <c r="G50" s="19">
        <f>'Courbe IMC'!G$51</f>
        <v>14.114099999999999</v>
      </c>
      <c r="H50" s="13">
        <f t="shared" si="0"/>
        <v>12.969713513513513</v>
      </c>
      <c r="I50" s="13">
        <f t="shared" si="1"/>
        <v>11.443864864864864</v>
      </c>
      <c r="J50">
        <f>'Courbe IMC'!G$48</f>
        <v>16.903124999999999</v>
      </c>
      <c r="K50" s="13">
        <f t="shared" si="2"/>
        <v>12.206789189189188</v>
      </c>
      <c r="L50" s="18">
        <f>G50+0.5</f>
        <v>14.614099999999999</v>
      </c>
      <c r="M50" s="18">
        <f>L50*16/19</f>
        <v>12.306610526315788</v>
      </c>
      <c r="N50" s="18">
        <f>L50*14.5/19</f>
        <v>11.152865789473683</v>
      </c>
    </row>
    <row r="51" spans="5:14">
      <c r="F51">
        <v>61</v>
      </c>
      <c r="G51" s="13">
        <f>G50-((G$50-G$62)/12)</f>
        <v>14.0984725</v>
      </c>
      <c r="H51" s="13">
        <f t="shared" si="0"/>
        <v>12.955353108108108</v>
      </c>
      <c r="I51" s="13">
        <f t="shared" si="1"/>
        <v>11.431193918918918</v>
      </c>
      <c r="J51" s="13">
        <f>J50-((J$50-J$62)/12)</f>
        <v>16.923872916666667</v>
      </c>
      <c r="K51" s="13">
        <f t="shared" si="2"/>
        <v>12.193273513513514</v>
      </c>
      <c r="L51" s="18">
        <f>L50-(L50-L62)/12</f>
        <v>14.5984725</v>
      </c>
      <c r="M51" s="18">
        <f>M50-(M50-M62)/12</f>
        <v>12.293450526315789</v>
      </c>
      <c r="N51" s="18">
        <f>N50-(N50-N62)/12</f>
        <v>11.140939539473683</v>
      </c>
    </row>
    <row r="52" spans="5:14">
      <c r="F52">
        <v>62</v>
      </c>
      <c r="G52" s="13">
        <f t="shared" ref="G52:G61" si="11">G51-((G$50-G$62)/12)</f>
        <v>14.082844999999999</v>
      </c>
      <c r="H52" s="13">
        <f t="shared" si="0"/>
        <v>12.940992702702701</v>
      </c>
      <c r="I52" s="13">
        <f t="shared" si="1"/>
        <v>11.418522972972973</v>
      </c>
      <c r="J52" s="13">
        <f t="shared" ref="J52:J61" si="12">J51-((J$50-J$62)/12)</f>
        <v>16.944620833333335</v>
      </c>
      <c r="K52" s="13">
        <f t="shared" si="2"/>
        <v>12.179757837837837</v>
      </c>
      <c r="L52" s="18">
        <f>L51-(L50-L62)/12</f>
        <v>14.582844999999999</v>
      </c>
      <c r="M52" s="18">
        <f>M51-(M50-M62)/12</f>
        <v>12.28029052631579</v>
      </c>
      <c r="N52" s="18">
        <f>N51-(N50-N62)/12</f>
        <v>11.129013289473683</v>
      </c>
    </row>
    <row r="53" spans="5:14">
      <c r="F53">
        <v>63</v>
      </c>
      <c r="G53" s="13">
        <f t="shared" si="11"/>
        <v>14.067217499999998</v>
      </c>
      <c r="H53" s="13">
        <f t="shared" si="0"/>
        <v>12.926632297297296</v>
      </c>
      <c r="I53" s="13">
        <f t="shared" si="1"/>
        <v>11.405852027027025</v>
      </c>
      <c r="J53" s="13">
        <f t="shared" si="12"/>
        <v>16.965368750000003</v>
      </c>
      <c r="K53" s="13">
        <f t="shared" si="2"/>
        <v>12.16624216216216</v>
      </c>
      <c r="L53" s="18">
        <f>L52-(L50-L62)/12</f>
        <v>14.567217499999998</v>
      </c>
      <c r="M53" s="18">
        <f>M52-(M50-M62)/12</f>
        <v>12.267130526315791</v>
      </c>
      <c r="N53" s="18">
        <f>N52-(N50-N62)/12</f>
        <v>11.117087039473683</v>
      </c>
    </row>
    <row r="54" spans="5:14">
      <c r="F54">
        <v>64</v>
      </c>
      <c r="G54" s="13">
        <f t="shared" si="11"/>
        <v>14.051589999999997</v>
      </c>
      <c r="H54" s="13">
        <f t="shared" si="0"/>
        <v>12.912271891891891</v>
      </c>
      <c r="I54" s="13">
        <f t="shared" si="1"/>
        <v>11.393181081081078</v>
      </c>
      <c r="J54" s="13">
        <f t="shared" si="12"/>
        <v>16.986116666666671</v>
      </c>
      <c r="K54" s="13">
        <f t="shared" si="2"/>
        <v>12.152726486486484</v>
      </c>
      <c r="L54" s="18">
        <f>L53-(L50-L62)/12</f>
        <v>14.551589999999997</v>
      </c>
      <c r="M54" s="18">
        <f>M53-(M50-M62)/12</f>
        <v>12.253970526315792</v>
      </c>
      <c r="N54" s="18">
        <f>N53-(N50-N62)/12</f>
        <v>11.105160789473683</v>
      </c>
    </row>
    <row r="55" spans="5:14">
      <c r="F55">
        <v>65</v>
      </c>
      <c r="G55" s="13">
        <f t="shared" si="11"/>
        <v>14.035962499999997</v>
      </c>
      <c r="H55" s="13">
        <f t="shared" si="0"/>
        <v>12.897911486486482</v>
      </c>
      <c r="I55" s="13">
        <f t="shared" si="1"/>
        <v>11.380510135135133</v>
      </c>
      <c r="J55" s="13">
        <f t="shared" si="12"/>
        <v>17.006864583333339</v>
      </c>
      <c r="K55" s="13">
        <f t="shared" si="2"/>
        <v>12.139210810810807</v>
      </c>
      <c r="L55" s="18">
        <f>L54-(L50-L62)/12</f>
        <v>14.535962499999997</v>
      </c>
      <c r="M55" s="18">
        <f>M54-(M50-M62)/12</f>
        <v>12.240810526315792</v>
      </c>
      <c r="N55" s="18">
        <f>N54-(N50-N62)/12</f>
        <v>11.093234539473682</v>
      </c>
    </row>
    <row r="56" spans="5:14">
      <c r="F56">
        <v>66</v>
      </c>
      <c r="G56" s="13">
        <f t="shared" si="11"/>
        <v>14.020334999999996</v>
      </c>
      <c r="H56" s="13">
        <f t="shared" si="0"/>
        <v>12.883551081081077</v>
      </c>
      <c r="I56" s="13">
        <f t="shared" si="1"/>
        <v>11.367839189189187</v>
      </c>
      <c r="J56" s="13">
        <f t="shared" si="12"/>
        <v>17.027612500000007</v>
      </c>
      <c r="K56" s="13">
        <f t="shared" si="2"/>
        <v>12.125695135135132</v>
      </c>
      <c r="L56" s="18">
        <f>L55-(L50-L62)/12</f>
        <v>14.520334999999996</v>
      </c>
      <c r="M56" s="18">
        <f>M55-(M50-M62)/12</f>
        <v>12.227650526315793</v>
      </c>
      <c r="N56" s="18">
        <f>N55-(N50-N62)/12</f>
        <v>11.081308289473682</v>
      </c>
    </row>
    <row r="57" spans="5:14">
      <c r="F57">
        <v>67</v>
      </c>
      <c r="G57" s="13">
        <f t="shared" si="11"/>
        <v>14.004707499999995</v>
      </c>
      <c r="H57" s="13">
        <f t="shared" si="0"/>
        <v>12.869190675675672</v>
      </c>
      <c r="I57" s="13">
        <f t="shared" si="1"/>
        <v>11.35516824324324</v>
      </c>
      <c r="J57" s="13">
        <f t="shared" si="12"/>
        <v>17.048360416666675</v>
      </c>
      <c r="K57" s="13">
        <f t="shared" si="2"/>
        <v>12.112179459459455</v>
      </c>
      <c r="L57" s="18">
        <f>L56-(L50-L62)/12</f>
        <v>14.504707499999995</v>
      </c>
      <c r="M57" s="18">
        <f>M56-(M50-M62)/12</f>
        <v>12.214490526315794</v>
      </c>
      <c r="N57" s="18">
        <f>N56-(N50-N62)/12</f>
        <v>11.069382039473682</v>
      </c>
    </row>
    <row r="58" spans="5:14">
      <c r="F58">
        <v>68</v>
      </c>
      <c r="G58" s="13">
        <f t="shared" si="11"/>
        <v>13.989079999999994</v>
      </c>
      <c r="H58" s="13">
        <f t="shared" si="0"/>
        <v>12.854830270270265</v>
      </c>
      <c r="I58" s="13">
        <f t="shared" si="1"/>
        <v>11.342497297297292</v>
      </c>
      <c r="J58" s="13">
        <f t="shared" si="12"/>
        <v>17.069108333333343</v>
      </c>
      <c r="K58" s="13">
        <f t="shared" si="2"/>
        <v>12.098663783783779</v>
      </c>
      <c r="L58" s="18">
        <f>L57-(L50-L62)/12</f>
        <v>14.489079999999994</v>
      </c>
      <c r="M58" s="18">
        <f>M57-(M50-M62)/12</f>
        <v>12.201330526315795</v>
      </c>
      <c r="N58" s="18">
        <f>N57-(N50-N62)/12</f>
        <v>11.057455789473682</v>
      </c>
    </row>
    <row r="59" spans="5:14">
      <c r="F59">
        <v>69</v>
      </c>
      <c r="G59" s="13">
        <f t="shared" si="11"/>
        <v>13.973452499999993</v>
      </c>
      <c r="H59" s="13">
        <f t="shared" si="0"/>
        <v>12.840469864864859</v>
      </c>
      <c r="I59" s="13">
        <f t="shared" si="1"/>
        <v>11.329826351351345</v>
      </c>
      <c r="J59" s="13">
        <f t="shared" si="12"/>
        <v>17.089856250000011</v>
      </c>
      <c r="K59" s="13">
        <f t="shared" si="2"/>
        <v>12.085148108108102</v>
      </c>
      <c r="L59" s="18">
        <f>L58-(L50-L62)/12</f>
        <v>14.473452499999993</v>
      </c>
      <c r="M59" s="18">
        <f>M58-(M50-M62)/12</f>
        <v>12.188170526315796</v>
      </c>
      <c r="N59" s="18">
        <f>N58-(N50-N62)/12</f>
        <v>11.045529539473682</v>
      </c>
    </row>
    <row r="60" spans="5:14">
      <c r="F60">
        <v>70</v>
      </c>
      <c r="G60" s="13">
        <f t="shared" si="11"/>
        <v>13.957824999999993</v>
      </c>
      <c r="H60" s="13">
        <f t="shared" si="0"/>
        <v>12.826109459459452</v>
      </c>
      <c r="I60" s="13">
        <f t="shared" si="1"/>
        <v>11.3171554054054</v>
      </c>
      <c r="J60" s="13">
        <f t="shared" si="12"/>
        <v>17.110604166666679</v>
      </c>
      <c r="K60" s="13">
        <f t="shared" si="2"/>
        <v>12.071632432432427</v>
      </c>
      <c r="L60" s="18">
        <f>L59-(L50-L62)/12</f>
        <v>14.457824999999993</v>
      </c>
      <c r="M60" s="18">
        <f>M59-(M50-M62)/12</f>
        <v>12.175010526315797</v>
      </c>
      <c r="N60" s="18">
        <f>N59-(N50-N62)/12</f>
        <v>11.033603289473682</v>
      </c>
    </row>
    <row r="61" spans="5:14">
      <c r="F61">
        <v>71</v>
      </c>
      <c r="G61" s="13">
        <f t="shared" si="11"/>
        <v>13.942197499999992</v>
      </c>
      <c r="H61" s="13">
        <f t="shared" si="0"/>
        <v>12.811749054054047</v>
      </c>
      <c r="I61" s="13">
        <f t="shared" si="1"/>
        <v>11.304484459459452</v>
      </c>
      <c r="J61" s="13">
        <f t="shared" si="12"/>
        <v>17.131352083333347</v>
      </c>
      <c r="K61" s="13">
        <f t="shared" si="2"/>
        <v>12.05811675675675</v>
      </c>
      <c r="L61" s="18">
        <f>L60-(L50-L62)/12</f>
        <v>14.442197499999992</v>
      </c>
      <c r="M61" s="18">
        <f>M60-(M50-M62)/12</f>
        <v>12.161850526315797</v>
      </c>
      <c r="N61" s="18">
        <f>N60-(N50-N62)/12</f>
        <v>11.021677039473682</v>
      </c>
    </row>
    <row r="62" spans="5:14">
      <c r="E62">
        <v>6</v>
      </c>
      <c r="F62">
        <v>72</v>
      </c>
      <c r="G62" s="19">
        <f>'Courbe IMC'!H$51</f>
        <v>13.92657</v>
      </c>
      <c r="H62" s="13">
        <f t="shared" si="0"/>
        <v>12.797388648648649</v>
      </c>
      <c r="I62" s="13">
        <f t="shared" si="1"/>
        <v>11.291813513513514</v>
      </c>
      <c r="J62">
        <f>'Courbe IMC'!H$48</f>
        <v>17.152100000000001</v>
      </c>
      <c r="K62" s="13">
        <f t="shared" si="2"/>
        <v>12.044601081081082</v>
      </c>
      <c r="L62" s="18">
        <f>G62+0.5</f>
        <v>14.42657</v>
      </c>
      <c r="M62" s="18">
        <f>L62*16/19</f>
        <v>12.148690526315789</v>
      </c>
      <c r="N62" s="18">
        <f>L62*14.5/19</f>
        <v>11.009750789473683</v>
      </c>
    </row>
    <row r="63" spans="5:14">
      <c r="F63">
        <v>73</v>
      </c>
      <c r="G63" s="13">
        <f>G62-((G$62-G$74)/12)</f>
        <v>13.933972499999999</v>
      </c>
      <c r="H63" s="13">
        <f t="shared" si="0"/>
        <v>12.804190945945946</v>
      </c>
      <c r="I63" s="13">
        <f t="shared" si="1"/>
        <v>11.29781554054054</v>
      </c>
      <c r="J63" s="13">
        <f>J62-((J$62-J$74)/12)</f>
        <v>17.192491666666669</v>
      </c>
      <c r="K63" s="13">
        <f t="shared" si="2"/>
        <v>12.051003243243242</v>
      </c>
      <c r="L63" s="18">
        <f>L62-(L62-L74)/12</f>
        <v>14.433972499999999</v>
      </c>
      <c r="M63" s="18">
        <f>M62-(M62-M74)/12</f>
        <v>12.154924210526316</v>
      </c>
      <c r="N63" s="18">
        <f>N62-(N62-N74)/12</f>
        <v>11.015400065789473</v>
      </c>
    </row>
    <row r="64" spans="5:14">
      <c r="F64">
        <v>74</v>
      </c>
      <c r="G64" s="13">
        <f t="shared" ref="G64:G73" si="13">G63-((G$62-G$74)/12)</f>
        <v>13.941374999999999</v>
      </c>
      <c r="H64" s="13">
        <f t="shared" si="0"/>
        <v>12.810993243243242</v>
      </c>
      <c r="I64" s="13">
        <f t="shared" si="1"/>
        <v>11.303817567567567</v>
      </c>
      <c r="J64" s="13">
        <f t="shared" ref="J64:J73" si="14">J63-((J$62-J$74)/12)</f>
        <v>17.232883333333337</v>
      </c>
      <c r="K64" s="13">
        <f t="shared" si="2"/>
        <v>12.057405405405405</v>
      </c>
      <c r="L64" s="18">
        <f>L63-(L62-L74)/12</f>
        <v>14.441374999999999</v>
      </c>
      <c r="M64" s="18">
        <f>M63-(M62-M74)/12</f>
        <v>12.161157894736842</v>
      </c>
      <c r="N64" s="18">
        <f>N63-(N62-N74)/12</f>
        <v>11.021049342105263</v>
      </c>
    </row>
    <row r="65" spans="5:14">
      <c r="F65">
        <v>75</v>
      </c>
      <c r="G65" s="13">
        <f t="shared" si="13"/>
        <v>13.948777499999998</v>
      </c>
      <c r="H65" s="13">
        <f t="shared" si="0"/>
        <v>12.817795540540539</v>
      </c>
      <c r="I65" s="13">
        <f t="shared" si="1"/>
        <v>11.309819594594593</v>
      </c>
      <c r="J65" s="13">
        <f t="shared" si="14"/>
        <v>17.273275000000005</v>
      </c>
      <c r="K65" s="13">
        <f t="shared" si="2"/>
        <v>12.063807567567567</v>
      </c>
      <c r="L65" s="18">
        <f>L64-(L62-L74)/12</f>
        <v>14.448777499999998</v>
      </c>
      <c r="M65" s="18">
        <f>M64-(M62-M74)/12</f>
        <v>12.167391578947369</v>
      </c>
      <c r="N65" s="18">
        <f>N64-(N62-N74)/12</f>
        <v>11.026698618421053</v>
      </c>
    </row>
    <row r="66" spans="5:14">
      <c r="F66">
        <v>76</v>
      </c>
      <c r="G66" s="13">
        <f t="shared" si="13"/>
        <v>13.956179999999998</v>
      </c>
      <c r="H66" s="13">
        <f t="shared" si="0"/>
        <v>12.824597837837835</v>
      </c>
      <c r="I66" s="13">
        <f t="shared" si="1"/>
        <v>11.31582162162162</v>
      </c>
      <c r="J66" s="13">
        <f t="shared" si="14"/>
        <v>17.313666666666673</v>
      </c>
      <c r="K66" s="13">
        <f t="shared" si="2"/>
        <v>12.070209729729727</v>
      </c>
      <c r="L66" s="18">
        <f>L65-(L62-L74)/12</f>
        <v>14.456179999999998</v>
      </c>
      <c r="M66" s="18">
        <f>M65-(M62-M74)/12</f>
        <v>12.173625263157895</v>
      </c>
      <c r="N66" s="18">
        <f>N65-(N62-N74)/12</f>
        <v>11.032347894736843</v>
      </c>
    </row>
    <row r="67" spans="5:14">
      <c r="F67">
        <v>77</v>
      </c>
      <c r="G67" s="13">
        <f t="shared" si="13"/>
        <v>13.963582499999998</v>
      </c>
      <c r="H67" s="13">
        <f t="shared" ref="H67:H130" si="15">G67*17/18.5</f>
        <v>12.831400135135134</v>
      </c>
      <c r="I67" s="13">
        <f t="shared" ref="I67:I130" si="16">G67*15/18.5</f>
        <v>11.321823648648646</v>
      </c>
      <c r="J67" s="13">
        <f t="shared" si="14"/>
        <v>17.354058333333342</v>
      </c>
      <c r="K67" s="13">
        <f t="shared" ref="K67:K130" si="17">G67*16/18.5</f>
        <v>12.07661189189189</v>
      </c>
      <c r="L67" s="18">
        <f>L66-(L62-L74)/12</f>
        <v>14.463582499999998</v>
      </c>
      <c r="M67" s="18">
        <f>M66-(M62-M74)/12</f>
        <v>12.179858947368421</v>
      </c>
      <c r="N67" s="18">
        <f>N66-(N62-N74)/12</f>
        <v>11.037997171052632</v>
      </c>
    </row>
    <row r="68" spans="5:14">
      <c r="F68">
        <v>78</v>
      </c>
      <c r="G68" s="13">
        <f t="shared" si="13"/>
        <v>13.970984999999997</v>
      </c>
      <c r="H68" s="13">
        <f t="shared" si="15"/>
        <v>12.838202432432428</v>
      </c>
      <c r="I68" s="13">
        <f t="shared" si="16"/>
        <v>11.327825675675674</v>
      </c>
      <c r="J68" s="13">
        <f t="shared" si="14"/>
        <v>17.39445000000001</v>
      </c>
      <c r="K68" s="13">
        <f t="shared" si="17"/>
        <v>12.083014054054052</v>
      </c>
      <c r="L68" s="18">
        <f>L67-(L62-L74)/12</f>
        <v>14.470984999999997</v>
      </c>
      <c r="M68" s="18">
        <f>M67-(M62-M74)/12</f>
        <v>12.186092631578948</v>
      </c>
      <c r="N68" s="18">
        <f>N67-(N62-N74)/12</f>
        <v>11.043646447368422</v>
      </c>
    </row>
    <row r="69" spans="5:14">
      <c r="F69">
        <v>79</v>
      </c>
      <c r="G69" s="13">
        <f t="shared" si="13"/>
        <v>13.978387499999997</v>
      </c>
      <c r="H69" s="13">
        <f t="shared" si="15"/>
        <v>12.845004729729727</v>
      </c>
      <c r="I69" s="13">
        <f t="shared" si="16"/>
        <v>11.333827702702701</v>
      </c>
      <c r="J69" s="13">
        <f t="shared" si="14"/>
        <v>17.434841666666678</v>
      </c>
      <c r="K69" s="13">
        <f t="shared" si="17"/>
        <v>12.089416216216213</v>
      </c>
      <c r="L69" s="18">
        <f>L68-(L62-L74)/12</f>
        <v>14.478387499999997</v>
      </c>
      <c r="M69" s="18">
        <f>M68-(M62-M74)/12</f>
        <v>12.192326315789474</v>
      </c>
      <c r="N69" s="18">
        <f>N68-(N62-N74)/12</f>
        <v>11.049295723684212</v>
      </c>
    </row>
    <row r="70" spans="5:14">
      <c r="F70">
        <v>80</v>
      </c>
      <c r="G70" s="13">
        <f t="shared" si="13"/>
        <v>13.985789999999996</v>
      </c>
      <c r="H70" s="13">
        <f t="shared" si="15"/>
        <v>12.851807027027025</v>
      </c>
      <c r="I70" s="13">
        <f t="shared" si="16"/>
        <v>11.339829729729725</v>
      </c>
      <c r="J70" s="13">
        <f t="shared" si="14"/>
        <v>17.475233333333346</v>
      </c>
      <c r="K70" s="13">
        <f t="shared" si="17"/>
        <v>12.095818378378375</v>
      </c>
      <c r="L70" s="18">
        <f>L69-(L62-L74)/12</f>
        <v>14.485789999999996</v>
      </c>
      <c r="M70" s="18">
        <f>M69-(M62-M74)/12</f>
        <v>12.198560000000001</v>
      </c>
      <c r="N70" s="18">
        <f>N69-(N62-N74)/12</f>
        <v>11.054945000000002</v>
      </c>
    </row>
    <row r="71" spans="5:14">
      <c r="F71">
        <v>81</v>
      </c>
      <c r="G71" s="13">
        <f t="shared" si="13"/>
        <v>13.993192499999996</v>
      </c>
      <c r="H71" s="13">
        <f t="shared" si="15"/>
        <v>12.85860932432432</v>
      </c>
      <c r="I71" s="13">
        <f t="shared" si="16"/>
        <v>11.345831756756754</v>
      </c>
      <c r="J71" s="13">
        <f t="shared" si="14"/>
        <v>17.515625000000014</v>
      </c>
      <c r="K71" s="13">
        <f t="shared" si="17"/>
        <v>12.102220540540538</v>
      </c>
      <c r="L71" s="18">
        <f>L70-(L62-L74)/12</f>
        <v>14.493192499999996</v>
      </c>
      <c r="M71" s="18">
        <f>M70-(M62-M74)/12</f>
        <v>12.204793684210527</v>
      </c>
      <c r="N71" s="18">
        <f>N70-(N62-N74)/12</f>
        <v>11.060594276315792</v>
      </c>
    </row>
    <row r="72" spans="5:14">
      <c r="F72">
        <v>82</v>
      </c>
      <c r="G72" s="13">
        <f t="shared" si="13"/>
        <v>14.000594999999995</v>
      </c>
      <c r="H72" s="13">
        <f t="shared" si="15"/>
        <v>12.865411621621618</v>
      </c>
      <c r="I72" s="13">
        <f t="shared" si="16"/>
        <v>11.35183378378378</v>
      </c>
      <c r="J72" s="13">
        <f t="shared" si="14"/>
        <v>17.556016666666682</v>
      </c>
      <c r="K72" s="13">
        <f t="shared" si="17"/>
        <v>12.108622702702698</v>
      </c>
      <c r="L72" s="18">
        <f>L71-(L62-L74)/12</f>
        <v>14.500594999999995</v>
      </c>
      <c r="M72" s="18">
        <f>M71-(M62-M74)/12</f>
        <v>12.211027368421053</v>
      </c>
      <c r="N72" s="18">
        <f>N71-(N62-N74)/12</f>
        <v>11.066243552631581</v>
      </c>
    </row>
    <row r="73" spans="5:14">
      <c r="F73">
        <v>83</v>
      </c>
      <c r="G73" s="13">
        <f t="shared" si="13"/>
        <v>14.007997499999995</v>
      </c>
      <c r="H73" s="13">
        <f t="shared" si="15"/>
        <v>12.872213918918913</v>
      </c>
      <c r="I73" s="13">
        <f t="shared" si="16"/>
        <v>11.357835810810807</v>
      </c>
      <c r="J73" s="13">
        <f t="shared" si="14"/>
        <v>17.596408333333351</v>
      </c>
      <c r="K73" s="13">
        <f t="shared" si="17"/>
        <v>12.115024864864861</v>
      </c>
      <c r="L73" s="18">
        <f>L72-(L62-L74)/12</f>
        <v>14.507997499999995</v>
      </c>
      <c r="M73" s="18">
        <f>M72-(M62-M74)/12</f>
        <v>12.21726105263158</v>
      </c>
      <c r="N73" s="18">
        <f>N72-(N62-N74)/12</f>
        <v>11.071892828947371</v>
      </c>
    </row>
    <row r="74" spans="5:14">
      <c r="E74">
        <v>7</v>
      </c>
      <c r="F74">
        <v>84</v>
      </c>
      <c r="G74" s="19">
        <f>'Courbe IMC'!I$51</f>
        <v>14.015400000000001</v>
      </c>
      <c r="H74" s="13">
        <f t="shared" si="15"/>
        <v>12.879016216216218</v>
      </c>
      <c r="I74" s="13">
        <f t="shared" si="16"/>
        <v>11.363837837837838</v>
      </c>
      <c r="J74">
        <f>'Courbe IMC'!I$48</f>
        <v>17.636800000000001</v>
      </c>
      <c r="K74" s="13">
        <f t="shared" si="17"/>
        <v>12.121427027027028</v>
      </c>
      <c r="L74" s="18">
        <f>G74+0.5</f>
        <v>14.515400000000001</v>
      </c>
      <c r="M74" s="18">
        <f>L74*16/19</f>
        <v>12.223494736842106</v>
      </c>
      <c r="N74" s="18">
        <f>L74*14.5/19</f>
        <v>11.077542105263159</v>
      </c>
    </row>
    <row r="75" spans="5:14">
      <c r="F75">
        <v>85</v>
      </c>
      <c r="G75" s="13">
        <f>G74-((G$74-G$86)/12)</f>
        <v>14.019512500000001</v>
      </c>
      <c r="H75" s="13">
        <f t="shared" si="15"/>
        <v>12.88279527027027</v>
      </c>
      <c r="I75" s="13">
        <f t="shared" si="16"/>
        <v>11.367172297297298</v>
      </c>
      <c r="J75" s="13">
        <f>J74-((J$74-J$86)/12)</f>
        <v>17.685804166666667</v>
      </c>
      <c r="K75" s="13">
        <f t="shared" si="17"/>
        <v>12.124983783783785</v>
      </c>
      <c r="L75" s="18">
        <f>L74+(L86-L74)/12</f>
        <v>14.519512500000001</v>
      </c>
      <c r="M75" s="18">
        <f>M74+(M86-M74)/12</f>
        <v>12.226957894736843</v>
      </c>
      <c r="N75" s="18">
        <f>N74+(N86-N74)/12</f>
        <v>11.080680592105264</v>
      </c>
    </row>
    <row r="76" spans="5:14">
      <c r="F76">
        <v>86</v>
      </c>
      <c r="G76" s="13">
        <f t="shared" ref="G76:G85" si="18">G75-((G$74-G$86)/12)</f>
        <v>14.023625000000001</v>
      </c>
      <c r="H76" s="13">
        <f t="shared" si="15"/>
        <v>12.886574324324325</v>
      </c>
      <c r="I76" s="13">
        <f t="shared" si="16"/>
        <v>11.370506756756757</v>
      </c>
      <c r="J76" s="13">
        <f t="shared" ref="J76:J85" si="19">J75-((J$74-J$86)/12)</f>
        <v>17.734808333333334</v>
      </c>
      <c r="K76" s="13">
        <f t="shared" si="17"/>
        <v>12.128540540540541</v>
      </c>
      <c r="L76" s="18">
        <f>L75+(L86-L74)/12</f>
        <v>14.523625000000001</v>
      </c>
      <c r="M76" s="18">
        <f>M75+(M86-M74)/12</f>
        <v>12.230421052631581</v>
      </c>
      <c r="N76" s="18">
        <f>N75+(N86-N74)/12</f>
        <v>11.083819078947368</v>
      </c>
    </row>
    <row r="77" spans="5:14">
      <c r="F77">
        <v>87</v>
      </c>
      <c r="G77" s="13">
        <f t="shared" si="18"/>
        <v>14.027737500000001</v>
      </c>
      <c r="H77" s="13">
        <f t="shared" si="15"/>
        <v>12.890353378378379</v>
      </c>
      <c r="I77" s="13">
        <f t="shared" si="16"/>
        <v>11.373841216216217</v>
      </c>
      <c r="J77" s="13">
        <f t="shared" si="19"/>
        <v>17.7838125</v>
      </c>
      <c r="K77" s="13">
        <f t="shared" si="17"/>
        <v>12.132097297297298</v>
      </c>
      <c r="L77" s="18">
        <f>L76+(L86-L74)/12</f>
        <v>14.527737500000001</v>
      </c>
      <c r="M77" s="18">
        <f>M76+(M86-M74)/12</f>
        <v>12.233884210526318</v>
      </c>
      <c r="N77" s="18">
        <f>N76+(N86-N74)/12</f>
        <v>11.086957565789472</v>
      </c>
    </row>
    <row r="78" spans="5:14">
      <c r="F78">
        <v>88</v>
      </c>
      <c r="G78" s="13">
        <f t="shared" si="18"/>
        <v>14.03185</v>
      </c>
      <c r="H78" s="13">
        <f t="shared" si="15"/>
        <v>12.894132432432432</v>
      </c>
      <c r="I78" s="13">
        <f t="shared" si="16"/>
        <v>11.377175675675677</v>
      </c>
      <c r="J78" s="13">
        <f t="shared" si="19"/>
        <v>17.832816666666666</v>
      </c>
      <c r="K78" s="13">
        <f t="shared" si="17"/>
        <v>12.135654054054054</v>
      </c>
      <c r="L78" s="18">
        <f>L77+(L86-L74)/12</f>
        <v>14.53185</v>
      </c>
      <c r="M78" s="18">
        <f>M77+(M86-M74)/12</f>
        <v>12.237347368421055</v>
      </c>
      <c r="N78" s="18">
        <f>N77+(N86-N74)/12</f>
        <v>11.090096052631576</v>
      </c>
    </row>
    <row r="79" spans="5:14">
      <c r="F79">
        <v>89</v>
      </c>
      <c r="G79" s="13">
        <f t="shared" si="18"/>
        <v>14.0359625</v>
      </c>
      <c r="H79" s="13">
        <f t="shared" si="15"/>
        <v>12.897911486486487</v>
      </c>
      <c r="I79" s="13">
        <f t="shared" si="16"/>
        <v>11.380510135135134</v>
      </c>
      <c r="J79" s="13">
        <f t="shared" si="19"/>
        <v>17.881820833333332</v>
      </c>
      <c r="K79" s="13">
        <f t="shared" si="17"/>
        <v>12.139210810810811</v>
      </c>
      <c r="L79" s="18">
        <f>L78+(L86-L74)/12</f>
        <v>14.5359625</v>
      </c>
      <c r="M79" s="18">
        <f>M78+(M86-M74)/12</f>
        <v>12.240810526315792</v>
      </c>
      <c r="N79" s="18">
        <f>N78+(N86-N74)/12</f>
        <v>11.093234539473681</v>
      </c>
    </row>
    <row r="80" spans="5:14">
      <c r="F80">
        <v>90</v>
      </c>
      <c r="G80" s="13">
        <f t="shared" si="18"/>
        <v>14.040075</v>
      </c>
      <c r="H80" s="13">
        <f t="shared" si="15"/>
        <v>12.901690540540541</v>
      </c>
      <c r="I80" s="13">
        <f t="shared" si="16"/>
        <v>11.383844594594594</v>
      </c>
      <c r="J80" s="13">
        <f t="shared" si="19"/>
        <v>17.930824999999999</v>
      </c>
      <c r="K80" s="13">
        <f t="shared" si="17"/>
        <v>12.142767567567567</v>
      </c>
      <c r="L80" s="18">
        <f>L79+(L86-L74)/12</f>
        <v>14.540075</v>
      </c>
      <c r="M80" s="18">
        <f>M79+(M86-M74)/12</f>
        <v>12.24427368421053</v>
      </c>
      <c r="N80" s="18">
        <f>N79+(N86-N74)/12</f>
        <v>11.096373026315785</v>
      </c>
    </row>
    <row r="81" spans="5:14">
      <c r="F81">
        <v>91</v>
      </c>
      <c r="G81" s="13">
        <f t="shared" si="18"/>
        <v>14.0441875</v>
      </c>
      <c r="H81" s="13">
        <f t="shared" si="15"/>
        <v>12.905469594594594</v>
      </c>
      <c r="I81" s="13">
        <f t="shared" si="16"/>
        <v>11.387179054054053</v>
      </c>
      <c r="J81" s="13">
        <f t="shared" si="19"/>
        <v>17.979829166666665</v>
      </c>
      <c r="K81" s="13">
        <f t="shared" si="17"/>
        <v>12.146324324324324</v>
      </c>
      <c r="L81" s="18">
        <f>L80+(L86-L74)/12</f>
        <v>14.5441875</v>
      </c>
      <c r="M81" s="18">
        <f>M80+(M86-M74)/12</f>
        <v>12.247736842105267</v>
      </c>
      <c r="N81" s="18">
        <f>N80+(N86-N74)/12</f>
        <v>11.099511513157889</v>
      </c>
    </row>
    <row r="82" spans="5:14">
      <c r="F82">
        <v>92</v>
      </c>
      <c r="G82" s="13">
        <f t="shared" si="18"/>
        <v>14.048299999999999</v>
      </c>
      <c r="H82" s="13">
        <f t="shared" si="15"/>
        <v>12.909248648648649</v>
      </c>
      <c r="I82" s="13">
        <f t="shared" si="16"/>
        <v>11.390513513513513</v>
      </c>
      <c r="J82" s="13">
        <f t="shared" si="19"/>
        <v>18.028833333333331</v>
      </c>
      <c r="K82" s="13">
        <f t="shared" si="17"/>
        <v>12.14988108108108</v>
      </c>
      <c r="L82" s="18">
        <f>L81+(L86-L74)/12</f>
        <v>14.548299999999999</v>
      </c>
      <c r="M82" s="18">
        <f>M81+(M86-M74)/12</f>
        <v>12.251200000000004</v>
      </c>
      <c r="N82" s="18">
        <f>N81+(N86-N74)/12</f>
        <v>11.102649999999993</v>
      </c>
    </row>
    <row r="83" spans="5:14">
      <c r="F83">
        <v>93</v>
      </c>
      <c r="G83" s="13">
        <f t="shared" si="18"/>
        <v>14.052412499999999</v>
      </c>
      <c r="H83" s="13">
        <f t="shared" si="15"/>
        <v>12.913027702702703</v>
      </c>
      <c r="I83" s="13">
        <f t="shared" si="16"/>
        <v>11.393847972972972</v>
      </c>
      <c r="J83" s="13">
        <f t="shared" si="19"/>
        <v>18.077837499999998</v>
      </c>
      <c r="K83" s="13">
        <f t="shared" si="17"/>
        <v>12.153437837837837</v>
      </c>
      <c r="L83" s="18">
        <f>L82+(L86-L74)/12</f>
        <v>14.552412499999999</v>
      </c>
      <c r="M83" s="18">
        <f>M82+(M86-M74)/12</f>
        <v>12.254663157894742</v>
      </c>
      <c r="N83" s="18">
        <f>N82+(N86-N74)/12</f>
        <v>11.105788486842098</v>
      </c>
    </row>
    <row r="84" spans="5:14">
      <c r="F84">
        <v>94</v>
      </c>
      <c r="G84" s="13">
        <f t="shared" si="18"/>
        <v>14.056524999999999</v>
      </c>
      <c r="H84" s="13">
        <f t="shared" si="15"/>
        <v>12.916806756756756</v>
      </c>
      <c r="I84" s="13">
        <f t="shared" si="16"/>
        <v>11.397182432432432</v>
      </c>
      <c r="J84" s="13">
        <f t="shared" si="19"/>
        <v>18.126841666666664</v>
      </c>
      <c r="K84" s="13">
        <f t="shared" si="17"/>
        <v>12.156994594594593</v>
      </c>
      <c r="L84" s="18">
        <f>L83+(L86-L74)/12</f>
        <v>14.556524999999999</v>
      </c>
      <c r="M84" s="18">
        <f>M83+(M86-M74)/12</f>
        <v>12.258126315789479</v>
      </c>
      <c r="N84" s="18">
        <f>N83+(N86-N74)/12</f>
        <v>11.108926973684202</v>
      </c>
    </row>
    <row r="85" spans="5:14">
      <c r="F85">
        <v>95</v>
      </c>
      <c r="G85" s="13">
        <f t="shared" si="18"/>
        <v>14.060637499999999</v>
      </c>
      <c r="H85" s="13">
        <f t="shared" si="15"/>
        <v>12.92058581081081</v>
      </c>
      <c r="I85" s="13">
        <f t="shared" si="16"/>
        <v>11.400516891891892</v>
      </c>
      <c r="J85" s="13">
        <f t="shared" si="19"/>
        <v>18.17584583333333</v>
      </c>
      <c r="K85" s="13">
        <f t="shared" si="17"/>
        <v>12.16055135135135</v>
      </c>
      <c r="L85" s="18">
        <f>L84+(L86-L74)/12</f>
        <v>14.560637499999999</v>
      </c>
      <c r="M85" s="18">
        <f>M84+(M86-M74)/12</f>
        <v>12.261589473684216</v>
      </c>
      <c r="N85" s="18">
        <f>N84+(N86-N74)/12</f>
        <v>11.112065460526306</v>
      </c>
    </row>
    <row r="86" spans="5:14">
      <c r="E86">
        <v>8</v>
      </c>
      <c r="F86">
        <v>96</v>
      </c>
      <c r="G86" s="19">
        <f>'Courbe IMC'!J$51</f>
        <v>14.06475</v>
      </c>
      <c r="H86" s="13">
        <f t="shared" si="15"/>
        <v>12.924364864864865</v>
      </c>
      <c r="I86" s="13">
        <f t="shared" si="16"/>
        <v>11.403851351351351</v>
      </c>
      <c r="J86">
        <f>'Courbe IMC'!J$48</f>
        <v>18.22485</v>
      </c>
      <c r="K86" s="13">
        <f t="shared" si="17"/>
        <v>12.164108108108108</v>
      </c>
      <c r="L86" s="18">
        <f>G86+0.5</f>
        <v>14.56475</v>
      </c>
      <c r="M86" s="18">
        <f>L86*16/19</f>
        <v>12.265052631578948</v>
      </c>
      <c r="N86" s="18">
        <f>L86*14.5/19</f>
        <v>11.115203947368421</v>
      </c>
    </row>
    <row r="87" spans="5:14">
      <c r="F87">
        <v>97</v>
      </c>
      <c r="G87" s="13">
        <f>G86-((G$86-G$98)/12)</f>
        <v>14.0951825</v>
      </c>
      <c r="H87" s="13">
        <f t="shared" si="15"/>
        <v>12.952329864864865</v>
      </c>
      <c r="I87" s="13">
        <f t="shared" si="16"/>
        <v>11.428526351351351</v>
      </c>
      <c r="J87" s="13">
        <f>J86-((J$86-J$98)/12)</f>
        <v>18.280120833333335</v>
      </c>
      <c r="K87" s="13">
        <f t="shared" si="17"/>
        <v>12.190428108108108</v>
      </c>
      <c r="L87" s="18">
        <f>L86+(L98-L86)/12</f>
        <v>14.5951825</v>
      </c>
      <c r="M87" s="18">
        <f>M86+(M98-M86)/12</f>
        <v>12.29068</v>
      </c>
      <c r="N87" s="18">
        <f>N86+(N98-N86)/12</f>
        <v>11.138428749999999</v>
      </c>
    </row>
    <row r="88" spans="5:14">
      <c r="F88">
        <v>98</v>
      </c>
      <c r="G88" s="13">
        <f t="shared" ref="G88:G97" si="20">G87-((G$86-G$98)/12)</f>
        <v>14.125615</v>
      </c>
      <c r="H88" s="13">
        <f t="shared" si="15"/>
        <v>12.980294864864865</v>
      </c>
      <c r="I88" s="13">
        <f t="shared" si="16"/>
        <v>11.45320135135135</v>
      </c>
      <c r="J88" s="13">
        <f t="shared" ref="J88:J97" si="21">J87-((J$86-J$98)/12)</f>
        <v>18.33539166666667</v>
      </c>
      <c r="K88" s="13">
        <f t="shared" si="17"/>
        <v>12.216748108108108</v>
      </c>
      <c r="L88" s="18">
        <f>L87+(L98-L86)/12</f>
        <v>14.625615</v>
      </c>
      <c r="M88" s="18">
        <f>M87+(M98-M86)/12</f>
        <v>12.316307368421052</v>
      </c>
      <c r="N88" s="18">
        <f>N87+(N98-N86)/12</f>
        <v>11.161653552631577</v>
      </c>
    </row>
    <row r="89" spans="5:14">
      <c r="F89">
        <v>99</v>
      </c>
      <c r="G89" s="13">
        <f t="shared" si="20"/>
        <v>14.1560475</v>
      </c>
      <c r="H89" s="13">
        <f t="shared" si="15"/>
        <v>13.008259864864865</v>
      </c>
      <c r="I89" s="13">
        <f t="shared" si="16"/>
        <v>11.477876351351352</v>
      </c>
      <c r="J89" s="13">
        <f t="shared" si="21"/>
        <v>18.390662500000005</v>
      </c>
      <c r="K89" s="13">
        <f t="shared" si="17"/>
        <v>12.243068108108108</v>
      </c>
      <c r="L89" s="18">
        <f>L88+(L98-L86)/12</f>
        <v>14.6560475</v>
      </c>
      <c r="M89" s="18">
        <f>M88+(M98-M86)/12</f>
        <v>12.341934736842104</v>
      </c>
      <c r="N89" s="18">
        <f>N88+(N98-N86)/12</f>
        <v>11.184878355263155</v>
      </c>
    </row>
    <row r="90" spans="5:14">
      <c r="F90">
        <v>100</v>
      </c>
      <c r="G90" s="13">
        <f t="shared" si="20"/>
        <v>14.18648</v>
      </c>
      <c r="H90" s="13">
        <f t="shared" si="15"/>
        <v>13.036224864864863</v>
      </c>
      <c r="I90" s="13">
        <f t="shared" si="16"/>
        <v>11.502551351351352</v>
      </c>
      <c r="J90" s="13">
        <f t="shared" si="21"/>
        <v>18.44593333333334</v>
      </c>
      <c r="K90" s="13">
        <f t="shared" si="17"/>
        <v>12.269388108108108</v>
      </c>
      <c r="L90" s="18">
        <f>L89+(L98-L86)/12</f>
        <v>14.68648</v>
      </c>
      <c r="M90" s="18">
        <f>M89+(M98-M86)/12</f>
        <v>12.367562105263156</v>
      </c>
      <c r="N90" s="18">
        <f>N89+(N98-N86)/12</f>
        <v>11.208103157894733</v>
      </c>
    </row>
    <row r="91" spans="5:14">
      <c r="F91">
        <v>101</v>
      </c>
      <c r="G91" s="13">
        <f t="shared" si="20"/>
        <v>14.216912499999999</v>
      </c>
      <c r="H91" s="13">
        <f t="shared" si="15"/>
        <v>13.064189864864865</v>
      </c>
      <c r="I91" s="13">
        <f t="shared" si="16"/>
        <v>11.52722635135135</v>
      </c>
      <c r="J91" s="13">
        <f t="shared" si="21"/>
        <v>18.501204166666675</v>
      </c>
      <c r="K91" s="13">
        <f t="shared" si="17"/>
        <v>12.295708108108107</v>
      </c>
      <c r="L91" s="18">
        <f>L90+(L98-L86)/12</f>
        <v>14.716912499999999</v>
      </c>
      <c r="M91" s="18">
        <f>M90+(M98-M86)/12</f>
        <v>12.393189473684208</v>
      </c>
      <c r="N91" s="18">
        <f>N90+(N98-N86)/12</f>
        <v>11.231327960526311</v>
      </c>
    </row>
    <row r="92" spans="5:14">
      <c r="F92">
        <v>102</v>
      </c>
      <c r="G92" s="13">
        <f t="shared" si="20"/>
        <v>14.247344999999999</v>
      </c>
      <c r="H92" s="13">
        <f t="shared" si="15"/>
        <v>13.092154864864863</v>
      </c>
      <c r="I92" s="13">
        <f t="shared" si="16"/>
        <v>11.551901351351351</v>
      </c>
      <c r="J92" s="13">
        <f t="shared" si="21"/>
        <v>18.55647500000001</v>
      </c>
      <c r="K92" s="13">
        <f t="shared" si="17"/>
        <v>12.322028108108107</v>
      </c>
      <c r="L92" s="18">
        <f>L91+(L98-L86)/12</f>
        <v>14.747344999999999</v>
      </c>
      <c r="M92" s="18">
        <f>M91+(M98-M86)/12</f>
        <v>12.41881684210526</v>
      </c>
      <c r="N92" s="18">
        <f>N91+(N98-N86)/12</f>
        <v>11.254552763157889</v>
      </c>
    </row>
    <row r="93" spans="5:14">
      <c r="F93">
        <v>103</v>
      </c>
      <c r="G93" s="13">
        <f t="shared" si="20"/>
        <v>14.277777499999999</v>
      </c>
      <c r="H93" s="13">
        <f t="shared" si="15"/>
        <v>13.120119864864865</v>
      </c>
      <c r="I93" s="13">
        <f t="shared" si="16"/>
        <v>11.576576351351349</v>
      </c>
      <c r="J93" s="13">
        <f t="shared" si="21"/>
        <v>18.611745833333345</v>
      </c>
      <c r="K93" s="13">
        <f t="shared" si="17"/>
        <v>12.348348108108107</v>
      </c>
      <c r="L93" s="18">
        <f>L92+(L98-L86)/12</f>
        <v>14.777777499999999</v>
      </c>
      <c r="M93" s="18">
        <f>M92+(M98-M86)/12</f>
        <v>12.444444210526312</v>
      </c>
      <c r="N93" s="18">
        <f>N92+(N98-N86)/12</f>
        <v>11.277777565789467</v>
      </c>
    </row>
    <row r="94" spans="5:14">
      <c r="F94">
        <v>104</v>
      </c>
      <c r="G94" s="13">
        <f t="shared" si="20"/>
        <v>14.308209999999999</v>
      </c>
      <c r="H94" s="13">
        <f t="shared" si="15"/>
        <v>13.148084864864865</v>
      </c>
      <c r="I94" s="13">
        <f t="shared" si="16"/>
        <v>11.601251351351351</v>
      </c>
      <c r="J94" s="13">
        <f t="shared" si="21"/>
        <v>18.667016666666679</v>
      </c>
      <c r="K94" s="13">
        <f t="shared" si="17"/>
        <v>12.374668108108107</v>
      </c>
      <c r="L94" s="18">
        <f>L93+(L98-L86)/12</f>
        <v>14.808209999999999</v>
      </c>
      <c r="M94" s="18">
        <f>M93+(M98-M86)/12</f>
        <v>12.470071578947364</v>
      </c>
      <c r="N94" s="18">
        <f>N93+(N98-N86)/12</f>
        <v>11.301002368421045</v>
      </c>
    </row>
    <row r="95" spans="5:14">
      <c r="F95">
        <v>105</v>
      </c>
      <c r="G95" s="13">
        <f t="shared" si="20"/>
        <v>14.338642499999999</v>
      </c>
      <c r="H95" s="13">
        <f t="shared" si="15"/>
        <v>13.176049864864863</v>
      </c>
      <c r="I95" s="13">
        <f t="shared" si="16"/>
        <v>11.625926351351351</v>
      </c>
      <c r="J95" s="13">
        <f t="shared" si="21"/>
        <v>18.722287500000014</v>
      </c>
      <c r="K95" s="13">
        <f t="shared" si="17"/>
        <v>12.400988108108107</v>
      </c>
      <c r="L95" s="18">
        <f>L94+(L98-L86)/12</f>
        <v>14.838642499999999</v>
      </c>
      <c r="M95" s="18">
        <f>M94+(M98-M86)/12</f>
        <v>12.495698947368416</v>
      </c>
      <c r="N95" s="18">
        <f>N94+(N98-N86)/12</f>
        <v>11.324227171052623</v>
      </c>
    </row>
    <row r="96" spans="5:14">
      <c r="F96">
        <v>106</v>
      </c>
      <c r="G96" s="13">
        <f t="shared" si="20"/>
        <v>14.369074999999999</v>
      </c>
      <c r="H96" s="13">
        <f t="shared" si="15"/>
        <v>13.204014864864865</v>
      </c>
      <c r="I96" s="13">
        <f t="shared" si="16"/>
        <v>11.65060135135135</v>
      </c>
      <c r="J96" s="13">
        <f t="shared" si="21"/>
        <v>18.777558333333349</v>
      </c>
      <c r="K96" s="13">
        <f t="shared" si="17"/>
        <v>12.427308108108107</v>
      </c>
      <c r="L96" s="18">
        <f>L95+(L98-L86)/12</f>
        <v>14.869074999999999</v>
      </c>
      <c r="M96" s="18">
        <f>M95+(M98-M86)/12</f>
        <v>12.521326315789468</v>
      </c>
      <c r="N96" s="18">
        <f>N95+(N98-N86)/12</f>
        <v>11.347451973684201</v>
      </c>
    </row>
    <row r="97" spans="5:14">
      <c r="F97">
        <v>107</v>
      </c>
      <c r="G97" s="13">
        <f t="shared" si="20"/>
        <v>14.399507499999999</v>
      </c>
      <c r="H97" s="13">
        <f t="shared" si="15"/>
        <v>13.231979864864863</v>
      </c>
      <c r="I97" s="13">
        <f t="shared" si="16"/>
        <v>11.67527635135135</v>
      </c>
      <c r="J97" s="13">
        <f t="shared" si="21"/>
        <v>18.832829166666684</v>
      </c>
      <c r="K97" s="13">
        <f t="shared" si="17"/>
        <v>12.453628108108107</v>
      </c>
      <c r="L97" s="18">
        <f>L96+(L98-L86)/12</f>
        <v>14.899507499999999</v>
      </c>
      <c r="M97" s="18">
        <f>M96+(M98-M86)/12</f>
        <v>12.54695368421052</v>
      </c>
      <c r="N97" s="18">
        <f>N96+(N98-N86)/12</f>
        <v>11.370676776315779</v>
      </c>
    </row>
    <row r="98" spans="5:14">
      <c r="E98">
        <v>9</v>
      </c>
      <c r="F98">
        <v>108</v>
      </c>
      <c r="G98" s="19">
        <f>'Courbe IMC'!K$51</f>
        <v>14.42994</v>
      </c>
      <c r="H98" s="13">
        <f t="shared" si="15"/>
        <v>13.259944864864865</v>
      </c>
      <c r="I98" s="13">
        <f t="shared" si="16"/>
        <v>11.699951351351352</v>
      </c>
      <c r="J98">
        <f>'Courbe IMC'!K$48</f>
        <v>18.888100000000001</v>
      </c>
      <c r="K98" s="13">
        <f t="shared" si="17"/>
        <v>12.479948108108108</v>
      </c>
      <c r="L98" s="18">
        <f>G98+0.5</f>
        <v>14.92994</v>
      </c>
      <c r="M98" s="18">
        <f>L98*16/19</f>
        <v>12.572581052631579</v>
      </c>
      <c r="N98" s="18">
        <f>L98*14.5/19</f>
        <v>11.393901578947368</v>
      </c>
    </row>
    <row r="99" spans="5:14">
      <c r="F99">
        <v>109</v>
      </c>
      <c r="G99" s="13">
        <f>G98-((G$98-G$110)/12)</f>
        <v>14.461195</v>
      </c>
      <c r="H99" s="13">
        <f t="shared" si="15"/>
        <v>13.288665675675675</v>
      </c>
      <c r="I99" s="13">
        <f t="shared" si="16"/>
        <v>11.725293243243243</v>
      </c>
      <c r="J99" s="13">
        <f>J98-((J$98-J$110)/12)</f>
        <v>18.974591666666669</v>
      </c>
      <c r="K99" s="13">
        <f t="shared" si="17"/>
        <v>12.50697945945946</v>
      </c>
      <c r="L99" s="18">
        <f>L98+(L110-L98)/12</f>
        <v>14.961195</v>
      </c>
      <c r="M99" s="18">
        <f>M98+(M110-M98)/12</f>
        <v>12.598901052631579</v>
      </c>
      <c r="N99" s="18">
        <f>N98+(N110-N98)/12</f>
        <v>11.417754078947368</v>
      </c>
    </row>
    <row r="100" spans="5:14">
      <c r="F100">
        <v>110</v>
      </c>
      <c r="G100" s="13">
        <f t="shared" ref="G100:G109" si="22">G99-((G$98-G$110)/12)</f>
        <v>14.49245</v>
      </c>
      <c r="H100" s="13">
        <f t="shared" si="15"/>
        <v>13.317386486486486</v>
      </c>
      <c r="I100" s="13">
        <f t="shared" si="16"/>
        <v>11.750635135135136</v>
      </c>
      <c r="J100" s="13">
        <f t="shared" ref="J100:J109" si="23">J99-((J$98-J$110)/12)</f>
        <v>19.061083333333336</v>
      </c>
      <c r="K100" s="13">
        <f t="shared" si="17"/>
        <v>12.534010810810811</v>
      </c>
      <c r="L100" s="18">
        <f>L99+(L110-L98)/12</f>
        <v>14.99245</v>
      </c>
      <c r="M100" s="18">
        <f>M99+(M110-M98)/12</f>
        <v>12.625221052631579</v>
      </c>
      <c r="N100" s="18">
        <f>N99+(N110-N98)/12</f>
        <v>11.441606578947368</v>
      </c>
    </row>
    <row r="101" spans="5:14">
      <c r="F101">
        <v>111</v>
      </c>
      <c r="G101" s="13">
        <f t="shared" si="22"/>
        <v>14.523705</v>
      </c>
      <c r="H101" s="13">
        <f t="shared" si="15"/>
        <v>13.346107297297298</v>
      </c>
      <c r="I101" s="13">
        <f t="shared" si="16"/>
        <v>11.775977027027027</v>
      </c>
      <c r="J101" s="13">
        <f t="shared" si="23"/>
        <v>19.147575000000003</v>
      </c>
      <c r="K101" s="13">
        <f t="shared" si="17"/>
        <v>12.561042162162162</v>
      </c>
      <c r="L101" s="18">
        <f>L100+(L110-L98)/12</f>
        <v>15.023705</v>
      </c>
      <c r="M101" s="18">
        <f>M100+(M110-M98)/12</f>
        <v>12.651541052631579</v>
      </c>
      <c r="N101" s="18">
        <f>N100+(N110-N98)/12</f>
        <v>11.465459078947369</v>
      </c>
    </row>
    <row r="102" spans="5:14">
      <c r="F102">
        <v>112</v>
      </c>
      <c r="G102" s="13">
        <f t="shared" si="22"/>
        <v>14.554959999999999</v>
      </c>
      <c r="H102" s="13">
        <f t="shared" si="15"/>
        <v>13.374828108108108</v>
      </c>
      <c r="I102" s="13">
        <f t="shared" si="16"/>
        <v>11.801318918918918</v>
      </c>
      <c r="J102" s="13">
        <f t="shared" si="23"/>
        <v>19.234066666666671</v>
      </c>
      <c r="K102" s="13">
        <f t="shared" si="17"/>
        <v>12.588073513513512</v>
      </c>
      <c r="L102" s="18">
        <f>L101+(L110-L98)/12</f>
        <v>15.054959999999999</v>
      </c>
      <c r="M102" s="18">
        <f>M101+(M110-M98)/12</f>
        <v>12.677861052631579</v>
      </c>
      <c r="N102" s="18">
        <f>N101+(N110-N98)/12</f>
        <v>11.489311578947369</v>
      </c>
    </row>
    <row r="103" spans="5:14">
      <c r="F103">
        <v>113</v>
      </c>
      <c r="G103" s="13">
        <f t="shared" si="22"/>
        <v>14.586214999999999</v>
      </c>
      <c r="H103" s="13">
        <f t="shared" si="15"/>
        <v>13.403548918918919</v>
      </c>
      <c r="I103" s="13">
        <f t="shared" si="16"/>
        <v>11.826660810810809</v>
      </c>
      <c r="J103" s="13">
        <f t="shared" si="23"/>
        <v>19.320558333333338</v>
      </c>
      <c r="K103" s="13">
        <f t="shared" si="17"/>
        <v>12.615104864864865</v>
      </c>
      <c r="L103" s="18">
        <f>L102+(L110-L98)/12</f>
        <v>15.086214999999999</v>
      </c>
      <c r="M103" s="18">
        <f>M102+(M110-M98)/12</f>
        <v>12.704181052631579</v>
      </c>
      <c r="N103" s="18">
        <f>N102+(N110-N98)/12</f>
        <v>11.513164078947369</v>
      </c>
    </row>
    <row r="104" spans="5:14">
      <c r="F104">
        <v>114</v>
      </c>
      <c r="G104" s="13">
        <f t="shared" si="22"/>
        <v>14.617469999999999</v>
      </c>
      <c r="H104" s="13">
        <f t="shared" si="15"/>
        <v>13.432269729729729</v>
      </c>
      <c r="I104" s="13">
        <f t="shared" si="16"/>
        <v>11.852002702702702</v>
      </c>
      <c r="J104" s="13">
        <f t="shared" si="23"/>
        <v>19.407050000000005</v>
      </c>
      <c r="K104" s="13">
        <f t="shared" si="17"/>
        <v>12.642136216216215</v>
      </c>
      <c r="L104" s="18">
        <f>L103+(L110-L98)/12</f>
        <v>15.117469999999999</v>
      </c>
      <c r="M104" s="18">
        <f>M103+(M110-M98)/12</f>
        <v>12.730501052631579</v>
      </c>
      <c r="N104" s="18">
        <f>N103+(N110-N98)/12</f>
        <v>11.53701657894737</v>
      </c>
    </row>
    <row r="105" spans="5:14">
      <c r="F105">
        <v>115</v>
      </c>
      <c r="G105" s="13">
        <f t="shared" si="22"/>
        <v>14.648724999999999</v>
      </c>
      <c r="H105" s="13">
        <f t="shared" si="15"/>
        <v>13.460990540540541</v>
      </c>
      <c r="I105" s="13">
        <f t="shared" si="16"/>
        <v>11.877344594594593</v>
      </c>
      <c r="J105" s="13">
        <f t="shared" si="23"/>
        <v>19.493541666666673</v>
      </c>
      <c r="K105" s="13">
        <f t="shared" si="17"/>
        <v>12.669167567567566</v>
      </c>
      <c r="L105" s="18">
        <f>L104+(L110-L98)/12</f>
        <v>15.148724999999999</v>
      </c>
      <c r="M105" s="18">
        <f>M104+(M110-M98)/12</f>
        <v>12.75682105263158</v>
      </c>
      <c r="N105" s="18">
        <f>N104+(N110-N98)/12</f>
        <v>11.56086907894737</v>
      </c>
    </row>
    <row r="106" spans="5:14">
      <c r="F106">
        <v>116</v>
      </c>
      <c r="G106" s="13">
        <f t="shared" si="22"/>
        <v>14.679979999999999</v>
      </c>
      <c r="H106" s="13">
        <f t="shared" si="15"/>
        <v>13.48971135135135</v>
      </c>
      <c r="I106" s="13">
        <f t="shared" si="16"/>
        <v>11.902686486486486</v>
      </c>
      <c r="J106" s="13">
        <f t="shared" si="23"/>
        <v>19.58003333333334</v>
      </c>
      <c r="K106" s="13">
        <f t="shared" si="17"/>
        <v>12.696198918918919</v>
      </c>
      <c r="L106" s="18">
        <f>L105+(L110-L98)/12</f>
        <v>15.179979999999999</v>
      </c>
      <c r="M106" s="18">
        <f>M105+(M110-M98)/12</f>
        <v>12.78314105263158</v>
      </c>
      <c r="N106" s="18">
        <f>N105+(N110-N98)/12</f>
        <v>11.58472157894737</v>
      </c>
    </row>
    <row r="107" spans="5:14">
      <c r="F107">
        <v>117</v>
      </c>
      <c r="G107" s="13">
        <f t="shared" si="22"/>
        <v>14.711234999999999</v>
      </c>
      <c r="H107" s="13">
        <f t="shared" si="15"/>
        <v>13.51843216216216</v>
      </c>
      <c r="I107" s="13">
        <f t="shared" si="16"/>
        <v>11.928028378378377</v>
      </c>
      <c r="J107" s="13">
        <f t="shared" si="23"/>
        <v>19.666525000000007</v>
      </c>
      <c r="K107" s="13">
        <f t="shared" si="17"/>
        <v>12.723230270270269</v>
      </c>
      <c r="L107" s="18">
        <f>L106+(L110-L98)/12</f>
        <v>15.211234999999999</v>
      </c>
      <c r="M107" s="18">
        <f>M106+(M110-M98)/12</f>
        <v>12.80946105263158</v>
      </c>
      <c r="N107" s="18">
        <f>N106+(N110-N98)/12</f>
        <v>11.60857407894737</v>
      </c>
    </row>
    <row r="108" spans="5:14">
      <c r="F108">
        <v>118</v>
      </c>
      <c r="G108" s="13">
        <f t="shared" si="22"/>
        <v>14.742489999999998</v>
      </c>
      <c r="H108" s="13">
        <f t="shared" si="15"/>
        <v>13.547152972972972</v>
      </c>
      <c r="I108" s="13">
        <f t="shared" si="16"/>
        <v>11.953370270270268</v>
      </c>
      <c r="J108" s="13">
        <f t="shared" si="23"/>
        <v>19.753016666666674</v>
      </c>
      <c r="K108" s="13">
        <f t="shared" si="17"/>
        <v>12.75026162162162</v>
      </c>
      <c r="L108" s="18">
        <f>L107+(L110-L98)/12</f>
        <v>15.242489999999998</v>
      </c>
      <c r="M108" s="18">
        <f>M107+(M110-M98)/12</f>
        <v>12.83578105263158</v>
      </c>
      <c r="N108" s="18">
        <f>N107+(N110-N98)/12</f>
        <v>11.632426578947371</v>
      </c>
    </row>
    <row r="109" spans="5:14">
      <c r="F109">
        <v>119</v>
      </c>
      <c r="G109" s="13">
        <f t="shared" si="22"/>
        <v>14.773744999999998</v>
      </c>
      <c r="H109" s="13">
        <f t="shared" si="15"/>
        <v>13.575873783783782</v>
      </c>
      <c r="I109" s="13">
        <f t="shared" si="16"/>
        <v>11.978712162162161</v>
      </c>
      <c r="J109" s="13">
        <f t="shared" si="23"/>
        <v>19.839508333333342</v>
      </c>
      <c r="K109" s="13">
        <f t="shared" si="17"/>
        <v>12.777292972972971</v>
      </c>
      <c r="L109" s="18">
        <f>L108+(L110-L98)/12</f>
        <v>15.273744999999998</v>
      </c>
      <c r="M109" s="18">
        <f>M108+(M110-M98)/12</f>
        <v>12.86210105263158</v>
      </c>
      <c r="N109" s="18">
        <f>N108+(N110-N98)/12</f>
        <v>11.656279078947371</v>
      </c>
    </row>
    <row r="110" spans="5:14">
      <c r="E110">
        <v>10</v>
      </c>
      <c r="F110">
        <v>120</v>
      </c>
      <c r="G110" s="19">
        <f>'Courbe IMC'!L$51</f>
        <v>14.805</v>
      </c>
      <c r="H110" s="13">
        <f t="shared" si="15"/>
        <v>13.604594594594595</v>
      </c>
      <c r="I110" s="13">
        <f t="shared" si="16"/>
        <v>12.004054054054054</v>
      </c>
      <c r="J110">
        <f>'Courbe IMC'!L$48</f>
        <v>19.925999999999998</v>
      </c>
      <c r="K110" s="13">
        <f t="shared" si="17"/>
        <v>12.804324324324323</v>
      </c>
      <c r="L110" s="18">
        <f>G110+0.5</f>
        <v>15.305</v>
      </c>
      <c r="M110" s="18">
        <f>L110*16/19</f>
        <v>12.888421052631578</v>
      </c>
      <c r="N110" s="18">
        <f>L110*14.5/19</f>
        <v>11.680131578947368</v>
      </c>
    </row>
    <row r="111" spans="5:14">
      <c r="F111">
        <v>121</v>
      </c>
      <c r="G111" s="13">
        <f>G110-((G$110-G$122)/12)</f>
        <v>14.8502375</v>
      </c>
      <c r="H111" s="13">
        <f t="shared" si="15"/>
        <v>13.646164189189189</v>
      </c>
      <c r="I111" s="13">
        <f t="shared" si="16"/>
        <v>12.040733108108109</v>
      </c>
      <c r="J111" s="13">
        <f>J110-((J$110-J$122)/12)</f>
        <v>20.010879166666665</v>
      </c>
      <c r="K111" s="13">
        <f t="shared" si="17"/>
        <v>12.84344864864865</v>
      </c>
      <c r="L111" s="18">
        <f>L110+(L122-L110)/12</f>
        <v>15.3502375</v>
      </c>
      <c r="M111" s="18">
        <f>M110+(M122-M110)/12</f>
        <v>12.926515789473683</v>
      </c>
      <c r="N111" s="18">
        <f>N110+(N122-N110)/12</f>
        <v>11.714654934210525</v>
      </c>
    </row>
    <row r="112" spans="5:14">
      <c r="F112">
        <v>122</v>
      </c>
      <c r="G112" s="13">
        <f t="shared" ref="G112:G121" si="24">G111-((G$110-G$122)/12)</f>
        <v>14.895475000000001</v>
      </c>
      <c r="H112" s="13">
        <f t="shared" si="15"/>
        <v>13.687733783783784</v>
      </c>
      <c r="I112" s="13">
        <f t="shared" si="16"/>
        <v>12.077412162162164</v>
      </c>
      <c r="J112" s="13">
        <f t="shared" ref="J112:J121" si="25">J111-((J$110-J$122)/12)</f>
        <v>20.095758333333333</v>
      </c>
      <c r="K112" s="13">
        <f t="shared" si="17"/>
        <v>12.882572972972975</v>
      </c>
      <c r="L112" s="18">
        <f>L111+(L122-L110)/12</f>
        <v>15.395475000000001</v>
      </c>
      <c r="M112" s="18">
        <f>M111+(M122-M110)/12</f>
        <v>12.964610526315788</v>
      </c>
      <c r="N112" s="18">
        <f>N111+(N122-N110)/12</f>
        <v>11.749178289473683</v>
      </c>
    </row>
    <row r="113" spans="5:14">
      <c r="F113">
        <v>123</v>
      </c>
      <c r="G113" s="13">
        <f t="shared" si="24"/>
        <v>14.940712500000002</v>
      </c>
      <c r="H113" s="13">
        <f t="shared" si="15"/>
        <v>13.729303378378379</v>
      </c>
      <c r="I113" s="13">
        <f t="shared" si="16"/>
        <v>12.114091216216218</v>
      </c>
      <c r="J113" s="13">
        <f t="shared" si="25"/>
        <v>20.1806375</v>
      </c>
      <c r="K113" s="13">
        <f t="shared" si="17"/>
        <v>12.9216972972973</v>
      </c>
      <c r="L113" s="18">
        <f>L112+(L122-L110)/12</f>
        <v>15.440712500000002</v>
      </c>
      <c r="M113" s="18">
        <f>M112+(M122-M110)/12</f>
        <v>13.002705263157893</v>
      </c>
      <c r="N113" s="18">
        <f>N112+(N122-N110)/12</f>
        <v>11.783701644736841</v>
      </c>
    </row>
    <row r="114" spans="5:14">
      <c r="F114">
        <v>124</v>
      </c>
      <c r="G114" s="13">
        <f t="shared" si="24"/>
        <v>14.985950000000003</v>
      </c>
      <c r="H114" s="13">
        <f t="shared" si="15"/>
        <v>13.770872972972976</v>
      </c>
      <c r="I114" s="13">
        <f t="shared" si="16"/>
        <v>12.150770270270272</v>
      </c>
      <c r="J114" s="13">
        <f t="shared" si="25"/>
        <v>20.265516666666667</v>
      </c>
      <c r="K114" s="13">
        <f t="shared" si="17"/>
        <v>12.960821621621625</v>
      </c>
      <c r="L114" s="18">
        <f>L113+(L122-L110)/12</f>
        <v>15.485950000000003</v>
      </c>
      <c r="M114" s="18">
        <f>M113+(M122-M110)/12</f>
        <v>13.040799999999997</v>
      </c>
      <c r="N114" s="18">
        <f>N113+(N122-N110)/12</f>
        <v>11.818224999999998</v>
      </c>
    </row>
    <row r="115" spans="5:14">
      <c r="F115">
        <v>125</v>
      </c>
      <c r="G115" s="13">
        <f t="shared" si="24"/>
        <v>15.031187500000003</v>
      </c>
      <c r="H115" s="13">
        <f t="shared" si="15"/>
        <v>13.812442567567571</v>
      </c>
      <c r="I115" s="13">
        <f t="shared" si="16"/>
        <v>12.187449324324326</v>
      </c>
      <c r="J115" s="13">
        <f t="shared" si="25"/>
        <v>20.350395833333334</v>
      </c>
      <c r="K115" s="13">
        <f t="shared" si="17"/>
        <v>12.999945945945949</v>
      </c>
      <c r="L115" s="18">
        <f>L114+(L122-L110)/12</f>
        <v>15.531187500000003</v>
      </c>
      <c r="M115" s="18">
        <f>M114+(M122-M110)/12</f>
        <v>13.078894736842102</v>
      </c>
      <c r="N115" s="18">
        <f>N114+(N122-N110)/12</f>
        <v>11.852748355263156</v>
      </c>
    </row>
    <row r="116" spans="5:14">
      <c r="F116">
        <v>126</v>
      </c>
      <c r="G116" s="13">
        <f t="shared" si="24"/>
        <v>15.076425000000004</v>
      </c>
      <c r="H116" s="13">
        <f t="shared" si="15"/>
        <v>13.854012162162167</v>
      </c>
      <c r="I116" s="13">
        <f t="shared" si="16"/>
        <v>12.224128378378381</v>
      </c>
      <c r="J116" s="13">
        <f t="shared" si="25"/>
        <v>20.435275000000001</v>
      </c>
      <c r="K116" s="13">
        <f t="shared" si="17"/>
        <v>13.039070270270274</v>
      </c>
      <c r="L116" s="18">
        <f>L115+(L122-L110)/12</f>
        <v>15.576425000000004</v>
      </c>
      <c r="M116" s="18">
        <f>M115+(M122-M110)/12</f>
        <v>13.116989473684207</v>
      </c>
      <c r="N116" s="18">
        <f>N115+(N122-N110)/12</f>
        <v>11.887271710526313</v>
      </c>
    </row>
    <row r="117" spans="5:14">
      <c r="F117">
        <v>127</v>
      </c>
      <c r="G117" s="13">
        <f t="shared" si="24"/>
        <v>15.121662500000005</v>
      </c>
      <c r="H117" s="13">
        <f t="shared" si="15"/>
        <v>13.89558175675676</v>
      </c>
      <c r="I117" s="13">
        <f t="shared" si="16"/>
        <v>12.260807432432436</v>
      </c>
      <c r="J117" s="13">
        <f t="shared" si="25"/>
        <v>20.520154166666668</v>
      </c>
      <c r="K117" s="13">
        <f t="shared" si="17"/>
        <v>13.078194594594599</v>
      </c>
      <c r="L117" s="18">
        <f>L116+(L122-L110)/12</f>
        <v>15.621662500000005</v>
      </c>
      <c r="M117" s="18">
        <f>M116+(M122-M110)/12</f>
        <v>13.155084210526311</v>
      </c>
      <c r="N117" s="18">
        <f>N116+(N122-N110)/12</f>
        <v>11.921795065789471</v>
      </c>
    </row>
    <row r="118" spans="5:14">
      <c r="F118">
        <v>128</v>
      </c>
      <c r="G118" s="13">
        <f t="shared" si="24"/>
        <v>15.166900000000005</v>
      </c>
      <c r="H118" s="13">
        <f t="shared" si="15"/>
        <v>13.937151351351355</v>
      </c>
      <c r="I118" s="13">
        <f t="shared" si="16"/>
        <v>12.297486486486491</v>
      </c>
      <c r="J118" s="13">
        <f t="shared" si="25"/>
        <v>20.605033333333335</v>
      </c>
      <c r="K118" s="13">
        <f t="shared" si="17"/>
        <v>13.117318918918924</v>
      </c>
      <c r="L118" s="18">
        <f>L117+(L122-L110)/12</f>
        <v>15.666900000000005</v>
      </c>
      <c r="M118" s="18">
        <f>M117+(M122-M110)/12</f>
        <v>13.193178947368416</v>
      </c>
      <c r="N118" s="18">
        <f>N117+(N122-N110)/12</f>
        <v>11.956318421052629</v>
      </c>
    </row>
    <row r="119" spans="5:14">
      <c r="F119">
        <v>129</v>
      </c>
      <c r="G119" s="13">
        <f t="shared" si="24"/>
        <v>15.212137500000006</v>
      </c>
      <c r="H119" s="13">
        <f t="shared" si="15"/>
        <v>13.978720945945952</v>
      </c>
      <c r="I119" s="13">
        <f t="shared" si="16"/>
        <v>12.334165540540544</v>
      </c>
      <c r="J119" s="13">
        <f t="shared" si="25"/>
        <v>20.689912500000002</v>
      </c>
      <c r="K119" s="13">
        <f t="shared" si="17"/>
        <v>13.156443243243249</v>
      </c>
      <c r="L119" s="18">
        <f>L118+(L122-L110)/12</f>
        <v>15.712137500000006</v>
      </c>
      <c r="M119" s="18">
        <f>M118+(M122-M110)/12</f>
        <v>13.231273684210521</v>
      </c>
      <c r="N119" s="18">
        <f>N118+(N122-N110)/12</f>
        <v>11.990841776315786</v>
      </c>
    </row>
    <row r="120" spans="5:14">
      <c r="F120">
        <v>130</v>
      </c>
      <c r="G120" s="13">
        <f t="shared" si="24"/>
        <v>15.257375000000007</v>
      </c>
      <c r="H120" s="13">
        <f t="shared" si="15"/>
        <v>14.020290540540548</v>
      </c>
      <c r="I120" s="13">
        <f t="shared" si="16"/>
        <v>12.370844594594601</v>
      </c>
      <c r="J120" s="13">
        <f t="shared" si="25"/>
        <v>20.774791666666669</v>
      </c>
      <c r="K120" s="13">
        <f t="shared" si="17"/>
        <v>13.195567567567574</v>
      </c>
      <c r="L120" s="18">
        <f>L119+(L122-L110)/12</f>
        <v>15.757375000000007</v>
      </c>
      <c r="M120" s="18">
        <f>M119+(M122-M110)/12</f>
        <v>13.269368421052626</v>
      </c>
      <c r="N120" s="18">
        <f>N119+(N122-N110)/12</f>
        <v>12.025365131578944</v>
      </c>
    </row>
    <row r="121" spans="5:14">
      <c r="F121">
        <v>131</v>
      </c>
      <c r="G121" s="13">
        <f t="shared" si="24"/>
        <v>15.302612500000008</v>
      </c>
      <c r="H121" s="13">
        <f t="shared" si="15"/>
        <v>14.06186013513514</v>
      </c>
      <c r="I121" s="13">
        <f t="shared" si="16"/>
        <v>12.407523648648654</v>
      </c>
      <c r="J121" s="13">
        <f t="shared" si="25"/>
        <v>20.859670833333336</v>
      </c>
      <c r="K121" s="13">
        <f t="shared" si="17"/>
        <v>13.234691891891899</v>
      </c>
      <c r="L121" s="18">
        <f>L120+(L122-L110)/12</f>
        <v>15.802612500000008</v>
      </c>
      <c r="M121" s="18">
        <f>M120+(M122-M110)/12</f>
        <v>13.30746315789473</v>
      </c>
      <c r="N121" s="18">
        <f>N120+(N122-N110)/12</f>
        <v>12.059888486842102</v>
      </c>
    </row>
    <row r="122" spans="5:14">
      <c r="E122">
        <v>11</v>
      </c>
      <c r="F122">
        <v>132</v>
      </c>
      <c r="G122" s="19">
        <f>'Courbe IMC'!M$51</f>
        <v>15.347850000000001</v>
      </c>
      <c r="H122" s="13">
        <f t="shared" si="15"/>
        <v>14.103429729729731</v>
      </c>
      <c r="I122" s="13">
        <f t="shared" si="16"/>
        <v>12.444202702702704</v>
      </c>
      <c r="J122">
        <f>'Courbe IMC'!M$48</f>
        <v>20.944550000000003</v>
      </c>
      <c r="K122" s="13">
        <f t="shared" si="17"/>
        <v>13.273816216216217</v>
      </c>
      <c r="L122" s="18">
        <f>G122+0.5</f>
        <v>15.847850000000001</v>
      </c>
      <c r="M122" s="18">
        <f>L122*16/19</f>
        <v>13.345557894736842</v>
      </c>
      <c r="N122" s="18">
        <f>L122*14.5/19</f>
        <v>12.094411842105265</v>
      </c>
    </row>
    <row r="123" spans="5:14">
      <c r="F123">
        <v>133</v>
      </c>
      <c r="G123" s="13">
        <f>G122-((G$122-G$134)/12)</f>
        <v>15.421875000000002</v>
      </c>
      <c r="H123" s="13">
        <f t="shared" si="15"/>
        <v>14.171452702702705</v>
      </c>
      <c r="I123" s="13">
        <f t="shared" si="16"/>
        <v>12.504222972972974</v>
      </c>
      <c r="J123" s="13">
        <f>J122-((J$122-J$134)/12)</f>
        <v>21.035758333333337</v>
      </c>
      <c r="K123" s="13">
        <f t="shared" si="17"/>
        <v>13.337837837837839</v>
      </c>
      <c r="L123" s="18">
        <f>L122+(L134-L122)/12</f>
        <v>15.921875000000002</v>
      </c>
      <c r="M123" s="18">
        <f>M122+(M134-M122)/12</f>
        <v>13.407894736842106</v>
      </c>
      <c r="N123" s="18">
        <f>N122+(N134-N122)/12</f>
        <v>12.150904605263159</v>
      </c>
    </row>
    <row r="124" spans="5:14">
      <c r="F124">
        <v>134</v>
      </c>
      <c r="G124" s="13">
        <f t="shared" ref="G124:G133" si="26">G123-((G$122-G$134)/12)</f>
        <v>15.495900000000002</v>
      </c>
      <c r="H124" s="13">
        <f t="shared" si="15"/>
        <v>14.239475675675678</v>
      </c>
      <c r="I124" s="13">
        <f t="shared" si="16"/>
        <v>12.564243243243245</v>
      </c>
      <c r="J124" s="13">
        <f t="shared" ref="J124:J133" si="27">J123-((J$122-J$134)/12)</f>
        <v>21.126966666666672</v>
      </c>
      <c r="K124" s="13">
        <f t="shared" si="17"/>
        <v>13.401859459459462</v>
      </c>
      <c r="L124" s="18">
        <f>L123+(L134-L122)/12</f>
        <v>15.995900000000002</v>
      </c>
      <c r="M124" s="18">
        <f>M123+(M134-M122)/12</f>
        <v>13.47023157894737</v>
      </c>
      <c r="N124" s="18">
        <f>N123+(N134-N122)/12</f>
        <v>12.207397368421054</v>
      </c>
    </row>
    <row r="125" spans="5:14">
      <c r="F125">
        <v>135</v>
      </c>
      <c r="G125" s="13">
        <f t="shared" si="26"/>
        <v>15.569925000000003</v>
      </c>
      <c r="H125" s="13">
        <f t="shared" si="15"/>
        <v>14.30749864864865</v>
      </c>
      <c r="I125" s="13">
        <f t="shared" si="16"/>
        <v>12.624263513513515</v>
      </c>
      <c r="J125" s="13">
        <f t="shared" si="27"/>
        <v>21.218175000000006</v>
      </c>
      <c r="K125" s="13">
        <f t="shared" si="17"/>
        <v>13.465881081081085</v>
      </c>
      <c r="L125" s="18">
        <f>L124+(L134-L122)/12</f>
        <v>16.069925000000001</v>
      </c>
      <c r="M125" s="18">
        <f>M124+(M134-M122)/12</f>
        <v>13.532568421052634</v>
      </c>
      <c r="N125" s="18">
        <f>N124+(N134-N122)/12</f>
        <v>12.263890131578949</v>
      </c>
    </row>
    <row r="126" spans="5:14">
      <c r="F126">
        <v>136</v>
      </c>
      <c r="G126" s="13">
        <f t="shared" si="26"/>
        <v>15.643950000000004</v>
      </c>
      <c r="H126" s="13">
        <f t="shared" si="15"/>
        <v>14.375521621621626</v>
      </c>
      <c r="I126" s="13">
        <f t="shared" si="16"/>
        <v>12.684283783783787</v>
      </c>
      <c r="J126" s="13">
        <f t="shared" si="27"/>
        <v>21.30938333333334</v>
      </c>
      <c r="K126" s="13">
        <f t="shared" si="17"/>
        <v>13.529902702702707</v>
      </c>
      <c r="L126" s="18">
        <f>L125+(L134-L122)/12</f>
        <v>16.14395</v>
      </c>
      <c r="M126" s="18">
        <f>M125+(M134-M122)/12</f>
        <v>13.594905263157898</v>
      </c>
      <c r="N126" s="18">
        <f>N125+(N134-N122)/12</f>
        <v>12.320382894736843</v>
      </c>
    </row>
    <row r="127" spans="5:14">
      <c r="F127">
        <v>137</v>
      </c>
      <c r="G127" s="13">
        <f t="shared" si="26"/>
        <v>15.717975000000004</v>
      </c>
      <c r="H127" s="13">
        <f t="shared" si="15"/>
        <v>14.443544594594599</v>
      </c>
      <c r="I127" s="13">
        <f t="shared" si="16"/>
        <v>12.744304054054059</v>
      </c>
      <c r="J127" s="13">
        <f t="shared" si="27"/>
        <v>21.400591666666674</v>
      </c>
      <c r="K127" s="13">
        <f t="shared" si="17"/>
        <v>13.593924324324329</v>
      </c>
      <c r="L127" s="18">
        <f>L126+(L134-L122)/12</f>
        <v>16.217974999999999</v>
      </c>
      <c r="M127" s="18">
        <f>M126+(M134-M122)/12</f>
        <v>13.657242105263162</v>
      </c>
      <c r="N127" s="18">
        <f>N126+(N134-N122)/12</f>
        <v>12.376875657894738</v>
      </c>
    </row>
    <row r="128" spans="5:14">
      <c r="F128">
        <v>138</v>
      </c>
      <c r="G128" s="13">
        <f t="shared" si="26"/>
        <v>15.792000000000005</v>
      </c>
      <c r="H128" s="13">
        <f t="shared" si="15"/>
        <v>14.511567567567573</v>
      </c>
      <c r="I128" s="13">
        <f t="shared" si="16"/>
        <v>12.804324324324329</v>
      </c>
      <c r="J128" s="13">
        <f t="shared" si="27"/>
        <v>21.491800000000008</v>
      </c>
      <c r="K128" s="13">
        <f t="shared" si="17"/>
        <v>13.657945945945951</v>
      </c>
      <c r="L128" s="18">
        <f>L127+(L134-L122)/12</f>
        <v>16.291999999999998</v>
      </c>
      <c r="M128" s="18">
        <f>M127+(M134-M122)/12</f>
        <v>13.719578947368426</v>
      </c>
      <c r="N128" s="18">
        <f>N127+(N134-N122)/12</f>
        <v>12.433368421052633</v>
      </c>
    </row>
    <row r="129" spans="5:14">
      <c r="F129">
        <v>139</v>
      </c>
      <c r="G129" s="13">
        <f t="shared" si="26"/>
        <v>15.866025000000006</v>
      </c>
      <c r="H129" s="13">
        <f t="shared" si="15"/>
        <v>14.579590540540545</v>
      </c>
      <c r="I129" s="13">
        <f t="shared" si="16"/>
        <v>12.864344594594598</v>
      </c>
      <c r="J129" s="13">
        <f t="shared" si="27"/>
        <v>21.583008333333343</v>
      </c>
      <c r="K129" s="13">
        <f t="shared" si="17"/>
        <v>13.721967567567573</v>
      </c>
      <c r="L129" s="18">
        <f>L128+(L134-L122)/12</f>
        <v>16.366024999999997</v>
      </c>
      <c r="M129" s="18">
        <f>M128+(M134-M122)/12</f>
        <v>13.78191578947369</v>
      </c>
      <c r="N129" s="18">
        <f>N128+(N134-N122)/12</f>
        <v>12.489861184210527</v>
      </c>
    </row>
    <row r="130" spans="5:14">
      <c r="F130">
        <v>140</v>
      </c>
      <c r="G130" s="13">
        <f t="shared" si="26"/>
        <v>15.940050000000006</v>
      </c>
      <c r="H130" s="13">
        <f t="shared" si="15"/>
        <v>14.647613513513518</v>
      </c>
      <c r="I130" s="13">
        <f t="shared" si="16"/>
        <v>12.92436486486487</v>
      </c>
      <c r="J130" s="13">
        <f t="shared" si="27"/>
        <v>21.674216666666677</v>
      </c>
      <c r="K130" s="13">
        <f t="shared" si="17"/>
        <v>13.785989189189195</v>
      </c>
      <c r="L130" s="18">
        <f>L129+(L134-L122)/12</f>
        <v>16.440049999999996</v>
      </c>
      <c r="M130" s="18">
        <f>M129+(M134-M122)/12</f>
        <v>13.844252631578954</v>
      </c>
      <c r="N130" s="18">
        <f>N129+(N134-N122)/12</f>
        <v>12.546353947368422</v>
      </c>
    </row>
    <row r="131" spans="5:14">
      <c r="F131">
        <v>141</v>
      </c>
      <c r="G131" s="13">
        <f t="shared" si="26"/>
        <v>16.014075000000005</v>
      </c>
      <c r="H131" s="13">
        <f t="shared" ref="H131:H194" si="28">G131*17/18.5</f>
        <v>14.71563648648649</v>
      </c>
      <c r="I131" s="13">
        <f t="shared" ref="I131:I194" si="29">G131*15/18.5</f>
        <v>12.98438513513514</v>
      </c>
      <c r="J131" s="13">
        <f t="shared" si="27"/>
        <v>21.765425000000011</v>
      </c>
      <c r="K131" s="13">
        <f t="shared" ref="K131:K194" si="30">G131*16/18.5</f>
        <v>13.850010810810815</v>
      </c>
      <c r="L131" s="18">
        <f>L130+(L134-L122)/12</f>
        <v>16.514074999999995</v>
      </c>
      <c r="M131" s="18">
        <f>M130+(M134-M122)/12</f>
        <v>13.906589473684217</v>
      </c>
      <c r="N131" s="18">
        <f>N130+(N134-N122)/12</f>
        <v>12.602846710526316</v>
      </c>
    </row>
    <row r="132" spans="5:14">
      <c r="F132">
        <v>142</v>
      </c>
      <c r="G132" s="13">
        <f t="shared" si="26"/>
        <v>16.088100000000004</v>
      </c>
      <c r="H132" s="13">
        <f t="shared" si="28"/>
        <v>14.783659459459463</v>
      </c>
      <c r="I132" s="13">
        <f t="shared" si="29"/>
        <v>13.04440540540541</v>
      </c>
      <c r="J132" s="13">
        <f t="shared" si="27"/>
        <v>21.856633333333345</v>
      </c>
      <c r="K132" s="13">
        <f t="shared" si="30"/>
        <v>13.914032432432435</v>
      </c>
      <c r="L132" s="18">
        <f>L131+(L134-L122)/12</f>
        <v>16.588099999999994</v>
      </c>
      <c r="M132" s="18">
        <f>M131+(M134-M122)/12</f>
        <v>13.968926315789481</v>
      </c>
      <c r="N132" s="18">
        <f>N131+(N134-N122)/12</f>
        <v>12.659339473684211</v>
      </c>
    </row>
    <row r="133" spans="5:14">
      <c r="F133">
        <v>143</v>
      </c>
      <c r="G133" s="13">
        <f t="shared" si="26"/>
        <v>16.162125000000003</v>
      </c>
      <c r="H133" s="13">
        <f t="shared" si="28"/>
        <v>14.851682432432435</v>
      </c>
      <c r="I133" s="13">
        <f t="shared" si="29"/>
        <v>13.104425675675678</v>
      </c>
      <c r="J133" s="13">
        <f t="shared" si="27"/>
        <v>21.94784166666668</v>
      </c>
      <c r="K133" s="13">
        <f t="shared" si="30"/>
        <v>13.978054054054057</v>
      </c>
      <c r="L133" s="18">
        <f>L132+(L134-L122)/12</f>
        <v>16.662124999999993</v>
      </c>
      <c r="M133" s="18">
        <f>M132+(M134-M122)/12</f>
        <v>14.031263157894745</v>
      </c>
      <c r="N133" s="18">
        <f>N132+(N134-N122)/12</f>
        <v>12.715832236842106</v>
      </c>
    </row>
    <row r="134" spans="5:14">
      <c r="E134">
        <v>12</v>
      </c>
      <c r="F134">
        <v>144</v>
      </c>
      <c r="G134" s="19">
        <f>'Courbe IMC'!N$51</f>
        <v>16.236150000000002</v>
      </c>
      <c r="H134" s="13">
        <f t="shared" si="28"/>
        <v>14.919705405405407</v>
      </c>
      <c r="I134" s="13">
        <f t="shared" si="29"/>
        <v>13.164445945945948</v>
      </c>
      <c r="J134">
        <f>'Courbe IMC'!N$48</f>
        <v>22.039050000000003</v>
      </c>
      <c r="K134" s="13">
        <f t="shared" si="30"/>
        <v>14.042075675675678</v>
      </c>
      <c r="L134" s="18">
        <f>G134+0.5</f>
        <v>16.736150000000002</v>
      </c>
      <c r="M134" s="18">
        <f>L134*16/19</f>
        <v>14.093600000000002</v>
      </c>
      <c r="N134" s="18">
        <f>L134*14.5/19</f>
        <v>12.772325</v>
      </c>
    </row>
    <row r="135" spans="5:14">
      <c r="F135">
        <v>145</v>
      </c>
      <c r="G135" s="13">
        <f>G134-((G$134-G$146)/12)</f>
        <v>16.281387500000001</v>
      </c>
      <c r="H135" s="13">
        <f t="shared" si="28"/>
        <v>14.961275000000001</v>
      </c>
      <c r="I135" s="13">
        <f t="shared" si="29"/>
        <v>13.201125000000001</v>
      </c>
      <c r="J135" s="13">
        <f>J134-((J$134-J$146)/12)</f>
        <v>22.110118750000002</v>
      </c>
      <c r="K135" s="13">
        <f t="shared" si="30"/>
        <v>14.081200000000001</v>
      </c>
      <c r="L135" s="18">
        <f>L134+(L146-L134)/12</f>
        <v>16.781387500000001</v>
      </c>
      <c r="M135" s="18">
        <f>M134+(M146-M134)/12</f>
        <v>14.131694736842107</v>
      </c>
      <c r="N135" s="18">
        <f>N134+(N146-N134)/12</f>
        <v>12.806848355263158</v>
      </c>
    </row>
    <row r="136" spans="5:14">
      <c r="F136">
        <v>146</v>
      </c>
      <c r="G136" s="13">
        <f t="shared" ref="G136:G145" si="31">G135-((G$134-G$146)/12)</f>
        <v>16.326625</v>
      </c>
      <c r="H136" s="13">
        <f t="shared" si="28"/>
        <v>15.002844594594594</v>
      </c>
      <c r="I136" s="13">
        <f t="shared" si="29"/>
        <v>13.237804054054054</v>
      </c>
      <c r="J136" s="13">
        <f t="shared" ref="J136:J145" si="32">J135-((J$134-J$146)/12)</f>
        <v>22.1811875</v>
      </c>
      <c r="K136" s="13">
        <f t="shared" si="30"/>
        <v>14.120324324324324</v>
      </c>
      <c r="L136" s="18">
        <f>L135+(L146-L134)/12</f>
        <v>16.826625</v>
      </c>
      <c r="M136" s="18">
        <f>M135+(M146-M134)/12</f>
        <v>14.169789473684212</v>
      </c>
      <c r="N136" s="18">
        <f>N135+(N146-N134)/12</f>
        <v>12.841371710526316</v>
      </c>
    </row>
    <row r="137" spans="5:14">
      <c r="F137">
        <v>147</v>
      </c>
      <c r="G137" s="13">
        <f t="shared" si="31"/>
        <v>16.371862499999999</v>
      </c>
      <c r="H137" s="13">
        <f t="shared" si="28"/>
        <v>15.044414189189188</v>
      </c>
      <c r="I137" s="13">
        <f t="shared" si="29"/>
        <v>13.274483108108107</v>
      </c>
      <c r="J137" s="13">
        <f t="shared" si="32"/>
        <v>22.252256249999999</v>
      </c>
      <c r="K137" s="13">
        <f t="shared" si="30"/>
        <v>14.159448648648647</v>
      </c>
      <c r="L137" s="18">
        <f>L136+(L146-L134)/12</f>
        <v>16.871862499999999</v>
      </c>
      <c r="M137" s="18">
        <f>M136+(M146-M134)/12</f>
        <v>14.207884210526316</v>
      </c>
      <c r="N137" s="18">
        <f>N136+(N146-N134)/12</f>
        <v>12.875895065789473</v>
      </c>
    </row>
    <row r="138" spans="5:14">
      <c r="F138">
        <v>148</v>
      </c>
      <c r="G138" s="13">
        <f t="shared" si="31"/>
        <v>16.417099999999998</v>
      </c>
      <c r="H138" s="13">
        <f t="shared" si="28"/>
        <v>15.085983783783782</v>
      </c>
      <c r="I138" s="13">
        <f t="shared" si="29"/>
        <v>13.311162162162161</v>
      </c>
      <c r="J138" s="13">
        <f t="shared" si="32"/>
        <v>22.323324999999997</v>
      </c>
      <c r="K138" s="13">
        <f t="shared" si="30"/>
        <v>14.198572972972972</v>
      </c>
      <c r="L138" s="18">
        <f>L137+(L146-L134)/12</f>
        <v>16.917099999999998</v>
      </c>
      <c r="M138" s="18">
        <f>M137+(M146-M134)/12</f>
        <v>14.245978947368421</v>
      </c>
      <c r="N138" s="18">
        <f>N137+(N146-N134)/12</f>
        <v>12.910418421052631</v>
      </c>
    </row>
    <row r="139" spans="5:14">
      <c r="F139">
        <v>149</v>
      </c>
      <c r="G139" s="13">
        <f t="shared" si="31"/>
        <v>16.462337499999997</v>
      </c>
      <c r="H139" s="13">
        <f t="shared" si="28"/>
        <v>15.127553378378375</v>
      </c>
      <c r="I139" s="13">
        <f t="shared" si="29"/>
        <v>13.347841216216214</v>
      </c>
      <c r="J139" s="13">
        <f t="shared" si="32"/>
        <v>22.394393749999995</v>
      </c>
      <c r="K139" s="13">
        <f t="shared" si="30"/>
        <v>14.237697297297295</v>
      </c>
      <c r="L139" s="18">
        <f>L138+(L146-L134)/12</f>
        <v>16.962337499999997</v>
      </c>
      <c r="M139" s="18">
        <f>M138+(M146-M134)/12</f>
        <v>14.284073684210526</v>
      </c>
      <c r="N139" s="18">
        <f>N138+(N146-N134)/12</f>
        <v>12.944941776315789</v>
      </c>
    </row>
    <row r="140" spans="5:14">
      <c r="F140">
        <v>150</v>
      </c>
      <c r="G140" s="13">
        <f t="shared" si="31"/>
        <v>16.507574999999996</v>
      </c>
      <c r="H140" s="13">
        <f t="shared" si="28"/>
        <v>15.169122972972968</v>
      </c>
      <c r="I140" s="13">
        <f t="shared" si="29"/>
        <v>13.384520270270267</v>
      </c>
      <c r="J140" s="13">
        <f t="shared" si="32"/>
        <v>22.465462499999994</v>
      </c>
      <c r="K140" s="13">
        <f t="shared" si="30"/>
        <v>14.276821621621618</v>
      </c>
      <c r="L140" s="18">
        <f>L139+(L146-L134)/12</f>
        <v>17.007574999999996</v>
      </c>
      <c r="M140" s="18">
        <f>M139+(M146-M134)/12</f>
        <v>14.322168421052631</v>
      </c>
      <c r="N140" s="18">
        <f>N139+(N146-N134)/12</f>
        <v>12.979465131578946</v>
      </c>
    </row>
    <row r="141" spans="5:14">
      <c r="F141">
        <v>151</v>
      </c>
      <c r="G141" s="13">
        <f t="shared" si="31"/>
        <v>16.552812499999995</v>
      </c>
      <c r="H141" s="13">
        <f t="shared" si="28"/>
        <v>15.210692567567564</v>
      </c>
      <c r="I141" s="13">
        <f t="shared" si="29"/>
        <v>13.42119932432432</v>
      </c>
      <c r="J141" s="13">
        <f t="shared" si="32"/>
        <v>22.536531249999992</v>
      </c>
      <c r="K141" s="13">
        <f t="shared" si="30"/>
        <v>14.315945945945941</v>
      </c>
      <c r="L141" s="18">
        <f>L140+(L146-L134)/12</f>
        <v>17.052812499999995</v>
      </c>
      <c r="M141" s="18">
        <f>M140+(M146-M134)/12</f>
        <v>14.360263157894735</v>
      </c>
      <c r="N141" s="18">
        <f>N140+(N146-N134)/12</f>
        <v>13.013988486842104</v>
      </c>
    </row>
    <row r="142" spans="5:14">
      <c r="F142">
        <v>152</v>
      </c>
      <c r="G142" s="13">
        <f t="shared" si="31"/>
        <v>16.598049999999994</v>
      </c>
      <c r="H142" s="13">
        <f t="shared" si="28"/>
        <v>15.252262162162157</v>
      </c>
      <c r="I142" s="13">
        <f t="shared" si="29"/>
        <v>13.457878378378373</v>
      </c>
      <c r="J142" s="13">
        <f t="shared" si="32"/>
        <v>22.607599999999991</v>
      </c>
      <c r="K142" s="13">
        <f t="shared" si="30"/>
        <v>14.355070270270264</v>
      </c>
      <c r="L142" s="18">
        <f>L141+(L146-L134)/12</f>
        <v>17.098049999999994</v>
      </c>
      <c r="M142" s="18">
        <f>M141+(M146-M134)/12</f>
        <v>14.39835789473684</v>
      </c>
      <c r="N142" s="18">
        <f>N141+(N146-N134)/12</f>
        <v>13.048511842105261</v>
      </c>
    </row>
    <row r="143" spans="5:14">
      <c r="F143">
        <v>153</v>
      </c>
      <c r="G143" s="13">
        <f t="shared" si="31"/>
        <v>16.643287499999992</v>
      </c>
      <c r="H143" s="13">
        <f t="shared" si="28"/>
        <v>15.293831756756749</v>
      </c>
      <c r="I143" s="13">
        <f t="shared" si="29"/>
        <v>13.494557432432426</v>
      </c>
      <c r="J143" s="13">
        <f t="shared" si="32"/>
        <v>22.678668749999989</v>
      </c>
      <c r="K143" s="13">
        <f t="shared" si="30"/>
        <v>14.394194594594587</v>
      </c>
      <c r="L143" s="18">
        <f>L142+(L146-L134)/12</f>
        <v>17.143287499999992</v>
      </c>
      <c r="M143" s="18">
        <f>M142+(M146-M134)/12</f>
        <v>14.436452631578945</v>
      </c>
      <c r="N143" s="18">
        <f>N142+(N146-N134)/12</f>
        <v>13.083035197368419</v>
      </c>
    </row>
    <row r="144" spans="5:14">
      <c r="F144">
        <v>154</v>
      </c>
      <c r="G144" s="13">
        <f t="shared" si="31"/>
        <v>16.688524999999991</v>
      </c>
      <c r="H144" s="13">
        <f t="shared" si="28"/>
        <v>15.335401351351342</v>
      </c>
      <c r="I144" s="13">
        <f t="shared" si="29"/>
        <v>13.531236486486479</v>
      </c>
      <c r="J144" s="13">
        <f t="shared" si="32"/>
        <v>22.749737499999988</v>
      </c>
      <c r="K144" s="13">
        <f t="shared" si="30"/>
        <v>14.433318918918911</v>
      </c>
      <c r="L144" s="18">
        <f>L143+(L146-L134)/12</f>
        <v>17.188524999999991</v>
      </c>
      <c r="M144" s="18">
        <f>M143+(M146-M134)/12</f>
        <v>14.474547368421049</v>
      </c>
      <c r="N144" s="18">
        <f>N143+(N146-N134)/12</f>
        <v>13.117558552631577</v>
      </c>
    </row>
    <row r="145" spans="5:14">
      <c r="F145">
        <v>155</v>
      </c>
      <c r="G145" s="13">
        <f t="shared" si="31"/>
        <v>16.73376249999999</v>
      </c>
      <c r="H145" s="13">
        <f t="shared" si="28"/>
        <v>15.376970945945938</v>
      </c>
      <c r="I145" s="13">
        <f t="shared" si="29"/>
        <v>13.567915540540533</v>
      </c>
      <c r="J145" s="13">
        <f t="shared" si="32"/>
        <v>22.820806249999986</v>
      </c>
      <c r="K145" s="13">
        <f t="shared" si="30"/>
        <v>14.472443243243236</v>
      </c>
      <c r="L145" s="18">
        <f>L144+(L146-L134)/12</f>
        <v>17.23376249999999</v>
      </c>
      <c r="M145" s="18">
        <f>M144+(M146-M134)/12</f>
        <v>14.512642105263154</v>
      </c>
      <c r="N145" s="18">
        <f>N144+(N146-N134)/12</f>
        <v>13.152081907894734</v>
      </c>
    </row>
    <row r="146" spans="5:14">
      <c r="E146">
        <v>13</v>
      </c>
      <c r="F146">
        <v>156</v>
      </c>
      <c r="G146" s="19">
        <f>'Courbe IMC'!O$51</f>
        <v>16.779</v>
      </c>
      <c r="H146" s="13">
        <f t="shared" si="28"/>
        <v>15.41854054054054</v>
      </c>
      <c r="I146" s="13">
        <f t="shared" si="29"/>
        <v>13.604594594594595</v>
      </c>
      <c r="J146">
        <f>'Courbe IMC'!O$48</f>
        <v>22.891874999999999</v>
      </c>
      <c r="K146" s="13">
        <f t="shared" si="30"/>
        <v>14.511567567567567</v>
      </c>
      <c r="L146" s="18">
        <f>G146+0.5</f>
        <v>17.279</v>
      </c>
      <c r="M146" s="18">
        <f>L146*16/19</f>
        <v>14.550736842105263</v>
      </c>
      <c r="N146" s="18">
        <f>L146*14.5/19</f>
        <v>13.186605263157896</v>
      </c>
    </row>
    <row r="147" spans="5:14">
      <c r="F147">
        <v>157</v>
      </c>
      <c r="G147" s="13">
        <f>G146-((G$146-G$158)/12)</f>
        <v>16.836575</v>
      </c>
      <c r="H147" s="13">
        <f t="shared" si="28"/>
        <v>15.471447297297296</v>
      </c>
      <c r="I147" s="13">
        <f t="shared" si="29"/>
        <v>13.651277027027026</v>
      </c>
      <c r="J147" s="13">
        <f>J146-((J$146-J$158)/12)</f>
        <v>22.952393749999999</v>
      </c>
      <c r="K147" s="13">
        <f t="shared" si="30"/>
        <v>14.561362162162162</v>
      </c>
      <c r="L147" s="18">
        <f>L146+(L158-L146)/12</f>
        <v>17.336575</v>
      </c>
      <c r="M147" s="18">
        <f>M146+(M158-M146)/12</f>
        <v>14.599221052631579</v>
      </c>
      <c r="N147" s="18">
        <f>N146+(N158-N146)/12</f>
        <v>13.23054407894737</v>
      </c>
    </row>
    <row r="148" spans="5:14">
      <c r="F148">
        <v>158</v>
      </c>
      <c r="G148" s="13">
        <f t="shared" ref="G148:G157" si="33">G147-((G$146-G$158)/12)</f>
        <v>16.89415</v>
      </c>
      <c r="H148" s="13">
        <f t="shared" si="28"/>
        <v>15.524354054054054</v>
      </c>
      <c r="I148" s="13">
        <f t="shared" si="29"/>
        <v>13.69795945945946</v>
      </c>
      <c r="J148" s="13">
        <f t="shared" ref="J148:J157" si="34">J147-((J$146-J$158)/12)</f>
        <v>23.012912499999999</v>
      </c>
      <c r="K148" s="13">
        <f t="shared" si="30"/>
        <v>14.611156756756756</v>
      </c>
      <c r="L148" s="18">
        <f>L147+(L158-L146)/12</f>
        <v>17.39415</v>
      </c>
      <c r="M148" s="18">
        <f>M147+(M158-M146)/12</f>
        <v>14.647705263157896</v>
      </c>
      <c r="N148" s="18">
        <f>N147+(N158-N146)/12</f>
        <v>13.274482894736844</v>
      </c>
    </row>
    <row r="149" spans="5:14">
      <c r="F149">
        <v>159</v>
      </c>
      <c r="G149" s="13">
        <f t="shared" si="33"/>
        <v>16.951725</v>
      </c>
      <c r="H149" s="13">
        <f t="shared" si="28"/>
        <v>15.577260810810811</v>
      </c>
      <c r="I149" s="13">
        <f t="shared" si="29"/>
        <v>13.744641891891892</v>
      </c>
      <c r="J149" s="13">
        <f t="shared" si="34"/>
        <v>23.073431249999999</v>
      </c>
      <c r="K149" s="13">
        <f t="shared" si="30"/>
        <v>14.660951351351351</v>
      </c>
      <c r="L149" s="18">
        <f>L148+(L158-L146)/12</f>
        <v>17.451725</v>
      </c>
      <c r="M149" s="18">
        <f>M148+(M158-M146)/12</f>
        <v>14.696189473684212</v>
      </c>
      <c r="N149" s="18">
        <f>N148+(N158-N146)/12</f>
        <v>13.318421710526318</v>
      </c>
    </row>
    <row r="150" spans="5:14">
      <c r="F150">
        <v>160</v>
      </c>
      <c r="G150" s="13">
        <f t="shared" si="33"/>
        <v>17.0093</v>
      </c>
      <c r="H150" s="13">
        <f t="shared" si="28"/>
        <v>15.630167567567566</v>
      </c>
      <c r="I150" s="13">
        <f t="shared" si="29"/>
        <v>13.791324324324325</v>
      </c>
      <c r="J150" s="13">
        <f t="shared" si="34"/>
        <v>23.133949999999999</v>
      </c>
      <c r="K150" s="13">
        <f t="shared" si="30"/>
        <v>14.710745945945945</v>
      </c>
      <c r="L150" s="18">
        <f>L149+(L158-L146)/12</f>
        <v>17.5093</v>
      </c>
      <c r="M150" s="18">
        <f>M149+(M158-M146)/12</f>
        <v>14.744673684210529</v>
      </c>
      <c r="N150" s="18">
        <f>N149+(N158-N146)/12</f>
        <v>13.362360526315792</v>
      </c>
    </row>
    <row r="151" spans="5:14">
      <c r="F151">
        <v>161</v>
      </c>
      <c r="G151" s="13">
        <f t="shared" si="33"/>
        <v>17.066875</v>
      </c>
      <c r="H151" s="13">
        <f t="shared" si="28"/>
        <v>15.683074324324323</v>
      </c>
      <c r="I151" s="13">
        <f t="shared" si="29"/>
        <v>13.838006756756757</v>
      </c>
      <c r="J151" s="13">
        <f t="shared" si="34"/>
        <v>23.194468749999999</v>
      </c>
      <c r="K151" s="13">
        <f t="shared" si="30"/>
        <v>14.760540540540541</v>
      </c>
      <c r="L151" s="18">
        <f>L150+(L158-L146)/12</f>
        <v>17.566875</v>
      </c>
      <c r="M151" s="18">
        <f>M150+(M158-M146)/12</f>
        <v>14.793157894736845</v>
      </c>
      <c r="N151" s="18">
        <f>N150+(N158-N146)/12</f>
        <v>13.406299342105266</v>
      </c>
    </row>
    <row r="152" spans="5:14">
      <c r="F152">
        <v>162</v>
      </c>
      <c r="G152" s="13">
        <f t="shared" si="33"/>
        <v>17.12445</v>
      </c>
      <c r="H152" s="13">
        <f t="shared" si="28"/>
        <v>15.735981081081082</v>
      </c>
      <c r="I152" s="13">
        <f t="shared" si="29"/>
        <v>13.884689189189187</v>
      </c>
      <c r="J152" s="13">
        <f t="shared" si="34"/>
        <v>23.254987499999999</v>
      </c>
      <c r="K152" s="13">
        <f t="shared" si="30"/>
        <v>14.810335135135135</v>
      </c>
      <c r="L152" s="18">
        <f>L151+(L158-L146)/12</f>
        <v>17.62445</v>
      </c>
      <c r="M152" s="18">
        <f>M151+(M158-M146)/12</f>
        <v>14.841642105263162</v>
      </c>
      <c r="N152" s="18">
        <f>N151+(N158-N146)/12</f>
        <v>13.45023815789474</v>
      </c>
    </row>
    <row r="153" spans="5:14">
      <c r="F153">
        <v>163</v>
      </c>
      <c r="G153" s="13">
        <f t="shared" si="33"/>
        <v>17.182024999999999</v>
      </c>
      <c r="H153" s="13">
        <f t="shared" si="28"/>
        <v>15.788887837837837</v>
      </c>
      <c r="I153" s="13">
        <f t="shared" si="29"/>
        <v>13.93137162162162</v>
      </c>
      <c r="J153" s="13">
        <f t="shared" si="34"/>
        <v>23.315506249999999</v>
      </c>
      <c r="K153" s="13">
        <f t="shared" si="30"/>
        <v>14.86012972972973</v>
      </c>
      <c r="L153" s="18">
        <f>L152+(L158-L146)/12</f>
        <v>17.682024999999999</v>
      </c>
      <c r="M153" s="18">
        <f>M152+(M158-M146)/12</f>
        <v>14.890126315789479</v>
      </c>
      <c r="N153" s="18">
        <f>N152+(N158-N146)/12</f>
        <v>13.494176973684214</v>
      </c>
    </row>
    <row r="154" spans="5:14">
      <c r="F154">
        <v>164</v>
      </c>
      <c r="G154" s="13">
        <f t="shared" si="33"/>
        <v>17.239599999999999</v>
      </c>
      <c r="H154" s="13">
        <f t="shared" si="28"/>
        <v>15.841794594594594</v>
      </c>
      <c r="I154" s="13">
        <f t="shared" si="29"/>
        <v>13.978054054054054</v>
      </c>
      <c r="J154" s="13">
        <f t="shared" si="34"/>
        <v>23.376024999999998</v>
      </c>
      <c r="K154" s="13">
        <f t="shared" si="30"/>
        <v>14.909924324324324</v>
      </c>
      <c r="L154" s="18">
        <f>L153+(L158-L146)/12</f>
        <v>17.739599999999999</v>
      </c>
      <c r="M154" s="18">
        <f>M153+(M158-M146)/12</f>
        <v>14.938610526315795</v>
      </c>
      <c r="N154" s="18">
        <f>N153+(N158-N146)/12</f>
        <v>13.538115789473688</v>
      </c>
    </row>
    <row r="155" spans="5:14">
      <c r="F155">
        <v>165</v>
      </c>
      <c r="G155" s="13">
        <f t="shared" si="33"/>
        <v>17.297174999999999</v>
      </c>
      <c r="H155" s="13">
        <f t="shared" si="28"/>
        <v>15.894701351351349</v>
      </c>
      <c r="I155" s="13">
        <f t="shared" si="29"/>
        <v>14.024736486486487</v>
      </c>
      <c r="J155" s="13">
        <f t="shared" si="34"/>
        <v>23.436543749999998</v>
      </c>
      <c r="K155" s="13">
        <f t="shared" si="30"/>
        <v>14.959718918918918</v>
      </c>
      <c r="L155" s="18">
        <f>L154+(L158-L146)/12</f>
        <v>17.797174999999999</v>
      </c>
      <c r="M155" s="18">
        <f>M154+(M158-M146)/12</f>
        <v>14.987094736842112</v>
      </c>
      <c r="N155" s="18">
        <f>N154+(N158-N146)/12</f>
        <v>13.582054605263162</v>
      </c>
    </row>
    <row r="156" spans="5:14">
      <c r="F156">
        <v>166</v>
      </c>
      <c r="G156" s="13">
        <f t="shared" si="33"/>
        <v>17.354749999999999</v>
      </c>
      <c r="H156" s="13">
        <f t="shared" si="28"/>
        <v>15.947608108108108</v>
      </c>
      <c r="I156" s="13">
        <f t="shared" si="29"/>
        <v>14.071418918918917</v>
      </c>
      <c r="J156" s="13">
        <f t="shared" si="34"/>
        <v>23.497062499999998</v>
      </c>
      <c r="K156" s="13">
        <f t="shared" si="30"/>
        <v>15.009513513513513</v>
      </c>
      <c r="L156" s="18">
        <f>L155+(L158-L146)/12</f>
        <v>17.854749999999999</v>
      </c>
      <c r="M156" s="18">
        <f>M155+(M158-M146)/12</f>
        <v>15.035578947368428</v>
      </c>
      <c r="N156" s="18">
        <f>N155+(N158-N146)/12</f>
        <v>13.625993421052636</v>
      </c>
    </row>
    <row r="157" spans="5:14">
      <c r="F157">
        <v>167</v>
      </c>
      <c r="G157" s="13">
        <f t="shared" si="33"/>
        <v>17.412324999999999</v>
      </c>
      <c r="H157" s="13">
        <f t="shared" si="28"/>
        <v>16.000514864864865</v>
      </c>
      <c r="I157" s="13">
        <f t="shared" si="29"/>
        <v>14.118101351351351</v>
      </c>
      <c r="J157" s="13">
        <f t="shared" si="34"/>
        <v>23.557581249999998</v>
      </c>
      <c r="K157" s="13">
        <f t="shared" si="30"/>
        <v>15.059308108108107</v>
      </c>
      <c r="L157" s="18">
        <f>L156+(L158-L146)/12</f>
        <v>17.912324999999999</v>
      </c>
      <c r="M157" s="18">
        <f>M156+(M158-M146)/12</f>
        <v>15.084063157894745</v>
      </c>
      <c r="N157" s="18">
        <f>N156+(N158-N146)/12</f>
        <v>13.66993223684211</v>
      </c>
    </row>
    <row r="158" spans="5:14">
      <c r="E158">
        <v>14</v>
      </c>
      <c r="F158">
        <v>168</v>
      </c>
      <c r="G158" s="19">
        <f>'Courbe IMC'!P$51</f>
        <v>17.469899999999999</v>
      </c>
      <c r="H158" s="13">
        <f t="shared" si="28"/>
        <v>16.05342162162162</v>
      </c>
      <c r="I158" s="13">
        <f t="shared" si="29"/>
        <v>14.164783783783783</v>
      </c>
      <c r="J158">
        <f>'Courbe IMC'!P$48</f>
        <v>23.618099999999998</v>
      </c>
      <c r="K158" s="13">
        <f t="shared" si="30"/>
        <v>15.109102702702701</v>
      </c>
      <c r="L158" s="18">
        <f>G158+0.5</f>
        <v>17.969899999999999</v>
      </c>
      <c r="M158" s="18">
        <f>L158*16/19</f>
        <v>15.132547368421053</v>
      </c>
      <c r="N158" s="18">
        <f>L158*14.5/19</f>
        <v>13.713871052631577</v>
      </c>
    </row>
    <row r="159" spans="5:14">
      <c r="F159">
        <v>169</v>
      </c>
      <c r="G159" s="13">
        <f>G158-((G$158-G$170)/12)</f>
        <v>17.51925</v>
      </c>
      <c r="H159" s="13">
        <f t="shared" si="28"/>
        <v>16.098770270270268</v>
      </c>
      <c r="I159" s="13">
        <f t="shared" si="29"/>
        <v>14.204797297297297</v>
      </c>
      <c r="J159" s="13">
        <f>J158-((J$158-J$170)/12)</f>
        <v>23.662556249999998</v>
      </c>
      <c r="K159" s="13">
        <f t="shared" si="30"/>
        <v>15.151783783783783</v>
      </c>
      <c r="L159" s="18">
        <f>L158+(L170-L158)/12</f>
        <v>18.01925</v>
      </c>
      <c r="M159" s="18">
        <f>M158+(M170-M158)/12</f>
        <v>15.174105263157895</v>
      </c>
      <c r="N159" s="18">
        <f>N158+(N170-N158)/12</f>
        <v>13.75153289473684</v>
      </c>
    </row>
    <row r="160" spans="5:14">
      <c r="F160">
        <v>170</v>
      </c>
      <c r="G160" s="13">
        <f t="shared" ref="G160:G169" si="35">G159-((G$158-G$170)/12)</f>
        <v>17.5686</v>
      </c>
      <c r="H160" s="13">
        <f t="shared" si="28"/>
        <v>16.14411891891892</v>
      </c>
      <c r="I160" s="13">
        <f t="shared" si="29"/>
        <v>14.24481081081081</v>
      </c>
      <c r="J160" s="13">
        <f t="shared" ref="J160:J168" si="36">J159-((J$158-J$170)/12)</f>
        <v>23.707012499999998</v>
      </c>
      <c r="K160" s="13">
        <f t="shared" si="30"/>
        <v>15.194464864864864</v>
      </c>
      <c r="L160" s="18">
        <f>L159+(L170-L158)/12</f>
        <v>18.0686</v>
      </c>
      <c r="M160" s="18">
        <f>M159+(M170-M158)/12</f>
        <v>15.215663157894737</v>
      </c>
      <c r="N160" s="18">
        <f>N159+(N170-N158)/12</f>
        <v>13.789194736842104</v>
      </c>
    </row>
    <row r="161" spans="5:14">
      <c r="F161">
        <v>171</v>
      </c>
      <c r="G161" s="13">
        <f t="shared" si="35"/>
        <v>17.61795</v>
      </c>
      <c r="H161" s="13">
        <f t="shared" si="28"/>
        <v>16.189467567567569</v>
      </c>
      <c r="I161" s="13">
        <f t="shared" si="29"/>
        <v>14.284824324324324</v>
      </c>
      <c r="J161" s="13">
        <f t="shared" si="36"/>
        <v>23.751468749999997</v>
      </c>
      <c r="K161" s="13">
        <f t="shared" si="30"/>
        <v>15.237145945945946</v>
      </c>
      <c r="L161" s="18">
        <f>L160+(L170-L158)/12</f>
        <v>18.11795</v>
      </c>
      <c r="M161" s="18">
        <f>M160+(M170-M158)/12</f>
        <v>15.257221052631579</v>
      </c>
      <c r="N161" s="18">
        <f>N160+(N170-N158)/12</f>
        <v>13.826856578947368</v>
      </c>
    </row>
    <row r="162" spans="5:14">
      <c r="F162">
        <v>172</v>
      </c>
      <c r="G162" s="13">
        <f t="shared" si="35"/>
        <v>17.667300000000001</v>
      </c>
      <c r="H162" s="13">
        <f t="shared" si="28"/>
        <v>16.234816216216217</v>
      </c>
      <c r="I162" s="13">
        <f t="shared" si="29"/>
        <v>14.324837837837839</v>
      </c>
      <c r="J162" s="13">
        <f t="shared" si="36"/>
        <v>23.795924999999997</v>
      </c>
      <c r="K162" s="13">
        <f t="shared" si="30"/>
        <v>15.279827027027029</v>
      </c>
      <c r="L162" s="18">
        <f>L161+(L170-L158)/12</f>
        <v>18.167300000000001</v>
      </c>
      <c r="M162" s="18">
        <f>M161+(M170-M158)/12</f>
        <v>15.298778947368421</v>
      </c>
      <c r="N162" s="18">
        <f>N161+(N170-N158)/12</f>
        <v>13.864518421052631</v>
      </c>
    </row>
    <row r="163" spans="5:14">
      <c r="F163">
        <v>173</v>
      </c>
      <c r="G163" s="13">
        <f t="shared" si="35"/>
        <v>17.716650000000001</v>
      </c>
      <c r="H163" s="13">
        <f t="shared" si="28"/>
        <v>16.280164864864865</v>
      </c>
      <c r="I163" s="13">
        <f t="shared" si="29"/>
        <v>14.364851351351351</v>
      </c>
      <c r="J163" s="13">
        <f t="shared" si="36"/>
        <v>23.840381249999997</v>
      </c>
      <c r="K163" s="13">
        <f t="shared" si="30"/>
        <v>15.32250810810811</v>
      </c>
      <c r="L163" s="18">
        <f>L162+(L170-L158)/12</f>
        <v>18.216650000000001</v>
      </c>
      <c r="M163" s="18">
        <f>M162+(M170-M158)/12</f>
        <v>15.340336842105263</v>
      </c>
      <c r="N163" s="18">
        <f>N162+(N170-N158)/12</f>
        <v>13.902180263157895</v>
      </c>
    </row>
    <row r="164" spans="5:14">
      <c r="F164">
        <v>174</v>
      </c>
      <c r="G164" s="13">
        <f t="shared" si="35"/>
        <v>17.766000000000002</v>
      </c>
      <c r="H164" s="13">
        <f t="shared" si="28"/>
        <v>16.325513513513517</v>
      </c>
      <c r="I164" s="13">
        <f t="shared" si="29"/>
        <v>14.404864864864866</v>
      </c>
      <c r="J164" s="13">
        <f t="shared" si="36"/>
        <v>23.884837499999996</v>
      </c>
      <c r="K164" s="13">
        <f t="shared" si="30"/>
        <v>15.365189189189191</v>
      </c>
      <c r="L164" s="18">
        <f>L163+(L170-L158)/12</f>
        <v>18.266000000000002</v>
      </c>
      <c r="M164" s="18">
        <f>M163+(M170-M158)/12</f>
        <v>15.381894736842105</v>
      </c>
      <c r="N164" s="18">
        <f>N163+(N170-N158)/12</f>
        <v>13.939842105263159</v>
      </c>
    </row>
    <row r="165" spans="5:14">
      <c r="F165">
        <v>175</v>
      </c>
      <c r="G165" s="13">
        <f t="shared" si="35"/>
        <v>17.815350000000002</v>
      </c>
      <c r="H165" s="13">
        <f t="shared" si="28"/>
        <v>16.370862162162165</v>
      </c>
      <c r="I165" s="13">
        <f t="shared" si="29"/>
        <v>14.444878378378379</v>
      </c>
      <c r="J165" s="13">
        <f t="shared" si="36"/>
        <v>23.929293749999996</v>
      </c>
      <c r="K165" s="13">
        <f t="shared" si="30"/>
        <v>15.407870270270273</v>
      </c>
      <c r="L165" s="18">
        <f>L164+(L170-L158)/12</f>
        <v>18.315350000000002</v>
      </c>
      <c r="M165" s="18">
        <f>M164+(M170-M158)/12</f>
        <v>15.423452631578947</v>
      </c>
      <c r="N165" s="18">
        <f>N164+(N170-N158)/12</f>
        <v>13.977503947368422</v>
      </c>
    </row>
    <row r="166" spans="5:14">
      <c r="F166">
        <v>176</v>
      </c>
      <c r="G166" s="13">
        <f t="shared" si="35"/>
        <v>17.864700000000003</v>
      </c>
      <c r="H166" s="13">
        <f t="shared" si="28"/>
        <v>16.416210810810814</v>
      </c>
      <c r="I166" s="13">
        <f t="shared" si="29"/>
        <v>14.484891891891893</v>
      </c>
      <c r="J166" s="13">
        <f t="shared" si="36"/>
        <v>23.973749999999995</v>
      </c>
      <c r="K166" s="13">
        <f t="shared" si="30"/>
        <v>15.450551351351354</v>
      </c>
      <c r="L166" s="18">
        <f>L165+(L170-L158)/12</f>
        <v>18.364700000000003</v>
      </c>
      <c r="M166" s="18">
        <f>M165+(M170-M158)/12</f>
        <v>15.465010526315789</v>
      </c>
      <c r="N166" s="18">
        <f>N165+(N170-N158)/12</f>
        <v>14.015165789473686</v>
      </c>
    </row>
    <row r="167" spans="5:14">
      <c r="F167">
        <v>177</v>
      </c>
      <c r="G167" s="13">
        <f t="shared" si="35"/>
        <v>17.914050000000003</v>
      </c>
      <c r="H167" s="13">
        <f t="shared" si="28"/>
        <v>16.461559459459462</v>
      </c>
      <c r="I167" s="13">
        <f t="shared" si="29"/>
        <v>14.524905405405409</v>
      </c>
      <c r="J167" s="13">
        <f t="shared" si="36"/>
        <v>24.018206249999995</v>
      </c>
      <c r="K167" s="13">
        <f t="shared" si="30"/>
        <v>15.493232432432436</v>
      </c>
      <c r="L167" s="18">
        <f>L166+(L170-L158)/12</f>
        <v>18.414050000000003</v>
      </c>
      <c r="M167" s="18">
        <f>M166+(M170-M158)/12</f>
        <v>15.506568421052631</v>
      </c>
      <c r="N167" s="18">
        <f>N166+(N170-N158)/12</f>
        <v>14.05282763157895</v>
      </c>
    </row>
    <row r="168" spans="5:14">
      <c r="F168">
        <v>178</v>
      </c>
      <c r="G168" s="13">
        <f t="shared" si="35"/>
        <v>17.963400000000004</v>
      </c>
      <c r="H168" s="13">
        <f t="shared" si="28"/>
        <v>16.50690810810811</v>
      </c>
      <c r="I168" s="13">
        <f t="shared" si="29"/>
        <v>14.564918918918924</v>
      </c>
      <c r="J168" s="13">
        <f t="shared" si="36"/>
        <v>24.062662499999995</v>
      </c>
      <c r="K168" s="13">
        <f t="shared" si="30"/>
        <v>15.535913513513517</v>
      </c>
      <c r="L168" s="18">
        <f>L167+(L170-L158)/12</f>
        <v>18.463400000000004</v>
      </c>
      <c r="M168" s="18">
        <f>M167+(M170-M158)/12</f>
        <v>15.548126315789473</v>
      </c>
      <c r="N168" s="18">
        <f>N167+(N170-N158)/12</f>
        <v>14.090489473684213</v>
      </c>
    </row>
    <row r="169" spans="5:14">
      <c r="F169">
        <v>179</v>
      </c>
      <c r="G169" s="13">
        <f t="shared" si="35"/>
        <v>18.012750000000004</v>
      </c>
      <c r="H169" s="13">
        <f t="shared" si="28"/>
        <v>16.552256756756758</v>
      </c>
      <c r="I169" s="13">
        <f t="shared" si="29"/>
        <v>14.604932432432436</v>
      </c>
      <c r="J169" s="13">
        <f>J168-((J$158-J$170)/12)</f>
        <v>24.107118749999994</v>
      </c>
      <c r="K169" s="13">
        <f t="shared" si="30"/>
        <v>15.578594594594598</v>
      </c>
      <c r="L169" s="18">
        <f>L168+(L170-L158)/12</f>
        <v>18.512750000000004</v>
      </c>
      <c r="M169" s="18">
        <f>M168+(M170-M158)/12</f>
        <v>15.589684210526315</v>
      </c>
      <c r="N169" s="18">
        <f>N168+(N170-N158)/12</f>
        <v>14.128151315789477</v>
      </c>
    </row>
    <row r="170" spans="5:14">
      <c r="E170">
        <v>15</v>
      </c>
      <c r="F170">
        <v>180</v>
      </c>
      <c r="G170" s="19">
        <f>'Courbe IMC'!Q$51</f>
        <v>18.062099999999997</v>
      </c>
      <c r="H170" s="13">
        <f t="shared" si="28"/>
        <v>16.597605405405403</v>
      </c>
      <c r="I170" s="13">
        <f t="shared" si="29"/>
        <v>14.644945945945944</v>
      </c>
      <c r="J170">
        <f>'Courbe IMC'!Q$48</f>
        <v>24.151574999999998</v>
      </c>
      <c r="K170" s="13">
        <f t="shared" si="30"/>
        <v>15.621275675675673</v>
      </c>
      <c r="L170" s="18">
        <f>G170+0.5</f>
        <v>18.562099999999997</v>
      </c>
      <c r="M170" s="18">
        <f>L170*16/19</f>
        <v>15.631242105263155</v>
      </c>
      <c r="N170" s="18">
        <f>L170*14.5/19</f>
        <v>14.165813157894735</v>
      </c>
    </row>
    <row r="171" spans="5:14">
      <c r="F171">
        <v>181</v>
      </c>
      <c r="G171" s="13">
        <f>G170-((G$170-G$182)/12)</f>
        <v>18.086774999999996</v>
      </c>
      <c r="H171" s="13">
        <f t="shared" si="28"/>
        <v>16.620279729729724</v>
      </c>
      <c r="I171" s="13">
        <f t="shared" si="29"/>
        <v>14.664952702702699</v>
      </c>
      <c r="J171" s="13">
        <f>J170-((J$170-J$182)/12)</f>
        <v>24.177631249999997</v>
      </c>
      <c r="K171" s="13">
        <f t="shared" si="30"/>
        <v>15.642616216216213</v>
      </c>
      <c r="L171" s="18">
        <f>L170+(L182-L170)/12</f>
        <v>18.586774999999996</v>
      </c>
      <c r="M171" s="18">
        <f>M170+(M182-M170)/12</f>
        <v>15.652021052631577</v>
      </c>
      <c r="N171" s="18">
        <f>N170+(N182-N170)/12</f>
        <v>14.184644078947366</v>
      </c>
    </row>
    <row r="172" spans="5:14">
      <c r="F172">
        <v>182</v>
      </c>
      <c r="G172" s="13">
        <f t="shared" ref="G172:G181" si="37">G171-((G$170-G$182)/12)</f>
        <v>18.111449999999998</v>
      </c>
      <c r="H172" s="13">
        <f t="shared" si="28"/>
        <v>16.642954054054051</v>
      </c>
      <c r="I172" s="13">
        <f t="shared" si="29"/>
        <v>14.684959459459458</v>
      </c>
      <c r="J172" s="13">
        <f t="shared" ref="J172:J181" si="38">J171-((J$170-J$182)/12)</f>
        <v>24.203687499999997</v>
      </c>
      <c r="K172" s="13">
        <f t="shared" si="30"/>
        <v>15.663956756756756</v>
      </c>
      <c r="L172" s="18">
        <f>L171+(L182-L170)/12</f>
        <v>18.611449999999998</v>
      </c>
      <c r="M172" s="18">
        <f>M171+(M182-M170)/12</f>
        <v>15.672799999999999</v>
      </c>
      <c r="N172" s="18">
        <f>N171+(N182-N170)/12</f>
        <v>14.203474999999997</v>
      </c>
    </row>
    <row r="173" spans="5:14">
      <c r="F173">
        <v>183</v>
      </c>
      <c r="G173" s="13">
        <f t="shared" si="37"/>
        <v>18.136125</v>
      </c>
      <c r="H173" s="13">
        <f t="shared" si="28"/>
        <v>16.665628378378379</v>
      </c>
      <c r="I173" s="13">
        <f t="shared" si="29"/>
        <v>14.704966216216217</v>
      </c>
      <c r="J173" s="13">
        <f t="shared" si="38"/>
        <v>24.229743749999997</v>
      </c>
      <c r="K173" s="13">
        <f t="shared" si="30"/>
        <v>15.685297297297296</v>
      </c>
      <c r="L173" s="18">
        <f>L172+(L182-L170)/12</f>
        <v>18.636125</v>
      </c>
      <c r="M173" s="18">
        <f>M172+(M182-M170)/12</f>
        <v>15.693578947368421</v>
      </c>
      <c r="N173" s="18">
        <f>N172+(N182-N170)/12</f>
        <v>14.222305921052628</v>
      </c>
    </row>
    <row r="174" spans="5:14">
      <c r="F174">
        <v>184</v>
      </c>
      <c r="G174" s="13">
        <f t="shared" si="37"/>
        <v>18.160800000000002</v>
      </c>
      <c r="H174" s="13">
        <f t="shared" si="28"/>
        <v>16.688302702702703</v>
      </c>
      <c r="I174" s="13">
        <f t="shared" si="29"/>
        <v>14.724972972972974</v>
      </c>
      <c r="J174" s="13">
        <f t="shared" si="38"/>
        <v>24.255799999999997</v>
      </c>
      <c r="K174" s="13">
        <f t="shared" si="30"/>
        <v>15.706637837837839</v>
      </c>
      <c r="L174" s="18">
        <f>L173+(L182-L170)/12</f>
        <v>18.660800000000002</v>
      </c>
      <c r="M174" s="18">
        <f>M173+(M182-M170)/12</f>
        <v>15.714357894736843</v>
      </c>
      <c r="N174" s="18">
        <f>N173+(N182-N170)/12</f>
        <v>14.241136842105259</v>
      </c>
    </row>
    <row r="175" spans="5:14">
      <c r="F175">
        <v>185</v>
      </c>
      <c r="G175" s="13">
        <f t="shared" si="37"/>
        <v>18.185475000000004</v>
      </c>
      <c r="H175" s="13">
        <f t="shared" si="28"/>
        <v>16.710977027027031</v>
      </c>
      <c r="I175" s="13">
        <f t="shared" si="29"/>
        <v>14.744979729729733</v>
      </c>
      <c r="J175" s="13">
        <f t="shared" si="38"/>
        <v>24.281856249999997</v>
      </c>
      <c r="K175" s="13">
        <f t="shared" si="30"/>
        <v>15.727978378378381</v>
      </c>
      <c r="L175" s="18">
        <f>L174+(L182-L170)/12</f>
        <v>18.685475000000004</v>
      </c>
      <c r="M175" s="18">
        <f>M174+(M182-M170)/12</f>
        <v>15.735136842105264</v>
      </c>
      <c r="N175" s="18">
        <f>N174+(N182-N170)/12</f>
        <v>14.25996776315789</v>
      </c>
    </row>
    <row r="176" spans="5:14">
      <c r="F176">
        <v>186</v>
      </c>
      <c r="G176" s="13">
        <f t="shared" si="37"/>
        <v>18.210150000000006</v>
      </c>
      <c r="H176" s="13">
        <f t="shared" si="28"/>
        <v>16.733651351351355</v>
      </c>
      <c r="I176" s="13">
        <f t="shared" si="29"/>
        <v>14.764986486486492</v>
      </c>
      <c r="J176" s="13">
        <f t="shared" si="38"/>
        <v>24.307912499999997</v>
      </c>
      <c r="K176" s="13">
        <f t="shared" si="30"/>
        <v>15.749318918918924</v>
      </c>
      <c r="L176" s="18">
        <f>L175+(L182-L170)/12</f>
        <v>18.710150000000006</v>
      </c>
      <c r="M176" s="18">
        <f>M175+(M182-M170)/12</f>
        <v>15.755915789473686</v>
      </c>
      <c r="N176" s="18">
        <f>N175+(N182-N170)/12</f>
        <v>14.278798684210521</v>
      </c>
    </row>
    <row r="177" spans="5:14">
      <c r="F177">
        <v>187</v>
      </c>
      <c r="G177" s="13">
        <f t="shared" si="37"/>
        <v>18.234825000000008</v>
      </c>
      <c r="H177" s="13">
        <f t="shared" si="28"/>
        <v>16.756325675675683</v>
      </c>
      <c r="I177" s="13">
        <f t="shared" si="29"/>
        <v>14.78499324324325</v>
      </c>
      <c r="J177" s="13">
        <f t="shared" si="38"/>
        <v>24.333968749999997</v>
      </c>
      <c r="K177" s="13">
        <f t="shared" si="30"/>
        <v>15.770659459459466</v>
      </c>
      <c r="L177" s="18">
        <f>L176+(L182-L170)/12</f>
        <v>18.734825000000008</v>
      </c>
      <c r="M177" s="18">
        <f>M176+(M182-M170)/12</f>
        <v>15.776694736842108</v>
      </c>
      <c r="N177" s="18">
        <f>N176+(N182-N170)/12</f>
        <v>14.297629605263152</v>
      </c>
    </row>
    <row r="178" spans="5:14">
      <c r="F178">
        <v>188</v>
      </c>
      <c r="G178" s="13">
        <f t="shared" si="37"/>
        <v>18.25950000000001</v>
      </c>
      <c r="H178" s="13">
        <f t="shared" si="28"/>
        <v>16.779000000000007</v>
      </c>
      <c r="I178" s="13">
        <f t="shared" si="29"/>
        <v>14.805000000000009</v>
      </c>
      <c r="J178" s="13">
        <f t="shared" si="38"/>
        <v>24.360024999999997</v>
      </c>
      <c r="K178" s="13">
        <f t="shared" si="30"/>
        <v>15.792000000000009</v>
      </c>
      <c r="L178" s="18">
        <f>L177+(L182-L170)/12</f>
        <v>18.75950000000001</v>
      </c>
      <c r="M178" s="18">
        <f>M177+(M182-M170)/12</f>
        <v>15.79747368421053</v>
      </c>
      <c r="N178" s="18">
        <f>N177+(N182-N170)/12</f>
        <v>14.316460526315783</v>
      </c>
    </row>
    <row r="179" spans="5:14">
      <c r="F179">
        <v>189</v>
      </c>
      <c r="G179" s="13">
        <f t="shared" si="37"/>
        <v>18.284175000000012</v>
      </c>
      <c r="H179" s="13">
        <f t="shared" si="28"/>
        <v>16.801674324324335</v>
      </c>
      <c r="I179" s="13">
        <f t="shared" si="29"/>
        <v>14.825006756756768</v>
      </c>
      <c r="J179" s="13">
        <f t="shared" si="38"/>
        <v>24.386081249999997</v>
      </c>
      <c r="K179" s="13">
        <f t="shared" si="30"/>
        <v>15.813340540540551</v>
      </c>
      <c r="L179" s="18">
        <f>L178+(L182-L170)/12</f>
        <v>18.784175000000012</v>
      </c>
      <c r="M179" s="18">
        <f>M178+(M182-M170)/12</f>
        <v>15.818252631578952</v>
      </c>
      <c r="N179" s="18">
        <f>N178+(N182-N170)/12</f>
        <v>14.335291447368414</v>
      </c>
    </row>
    <row r="180" spans="5:14">
      <c r="F180">
        <v>190</v>
      </c>
      <c r="G180" s="13">
        <f t="shared" si="37"/>
        <v>18.308850000000014</v>
      </c>
      <c r="H180" s="13">
        <f t="shared" si="28"/>
        <v>16.824348648648662</v>
      </c>
      <c r="I180" s="13">
        <f t="shared" si="29"/>
        <v>14.845013513513525</v>
      </c>
      <c r="J180" s="13">
        <f t="shared" si="38"/>
        <v>24.412137499999996</v>
      </c>
      <c r="K180" s="13">
        <f t="shared" si="30"/>
        <v>15.834681081081094</v>
      </c>
      <c r="L180" s="18">
        <f>L179+(L182-L170)/12</f>
        <v>18.808850000000014</v>
      </c>
      <c r="M180" s="18">
        <f>M179+(M182-M170)/12</f>
        <v>15.839031578947374</v>
      </c>
      <c r="N180" s="18">
        <f>N179+(N182-N170)/12</f>
        <v>14.354122368421045</v>
      </c>
    </row>
    <row r="181" spans="5:14">
      <c r="F181">
        <v>191</v>
      </c>
      <c r="G181" s="13">
        <f t="shared" si="37"/>
        <v>18.333525000000016</v>
      </c>
      <c r="H181" s="13">
        <f t="shared" si="28"/>
        <v>16.847022972972987</v>
      </c>
      <c r="I181" s="13">
        <f t="shared" si="29"/>
        <v>14.865020270270284</v>
      </c>
      <c r="J181" s="13">
        <f t="shared" si="38"/>
        <v>24.438193749999996</v>
      </c>
      <c r="K181" s="13">
        <f t="shared" si="30"/>
        <v>15.856021621621636</v>
      </c>
      <c r="L181" s="18">
        <f>L180+(L182-L170)/12</f>
        <v>18.833525000000016</v>
      </c>
      <c r="M181" s="18">
        <f>M180+(M182-M170)/12</f>
        <v>15.859810526315796</v>
      </c>
      <c r="N181" s="18">
        <f>N180+(N182-N170)/12</f>
        <v>14.372953289473676</v>
      </c>
    </row>
    <row r="182" spans="5:14">
      <c r="E182">
        <v>16</v>
      </c>
      <c r="F182">
        <v>192</v>
      </c>
      <c r="G182" s="19">
        <f>'Courbe IMC'!R$51</f>
        <v>18.3582</v>
      </c>
      <c r="H182" s="13">
        <f t="shared" si="28"/>
        <v>16.869697297297297</v>
      </c>
      <c r="I182" s="13">
        <f t="shared" si="29"/>
        <v>14.885027027027027</v>
      </c>
      <c r="J182">
        <f>'Courbe IMC'!R$48</f>
        <v>24.46425</v>
      </c>
      <c r="K182" s="13">
        <f t="shared" si="30"/>
        <v>15.877362162162163</v>
      </c>
      <c r="L182" s="18">
        <f>G182+0.5</f>
        <v>18.8582</v>
      </c>
      <c r="M182" s="18">
        <f>L182*16/19</f>
        <v>15.880589473684211</v>
      </c>
      <c r="N182" s="18">
        <f>L182*14.5/19</f>
        <v>14.391784210526316</v>
      </c>
    </row>
    <row r="183" spans="5:14">
      <c r="F183">
        <v>193</v>
      </c>
      <c r="G183" s="13">
        <f>G182-((G$182-G$194)/12)</f>
        <v>18.366425</v>
      </c>
      <c r="H183" s="13">
        <f t="shared" si="28"/>
        <v>16.877255405405403</v>
      </c>
      <c r="I183" s="13">
        <f t="shared" si="29"/>
        <v>14.891695945945946</v>
      </c>
      <c r="J183" s="13">
        <f>J182-((J$182-J$194)/12)</f>
        <v>24.486654166666668</v>
      </c>
      <c r="K183" s="13">
        <f t="shared" si="30"/>
        <v>15.884475675675676</v>
      </c>
      <c r="L183" s="18">
        <f>L182+(L194-L182)/12</f>
        <v>18.866425</v>
      </c>
      <c r="M183" s="18">
        <f>M182+(M194-M182)/12</f>
        <v>15.887515789473685</v>
      </c>
      <c r="N183" s="18">
        <f>N182+(N194-N182)/12</f>
        <v>14.398061184210526</v>
      </c>
    </row>
    <row r="184" spans="5:14">
      <c r="F184">
        <v>194</v>
      </c>
      <c r="G184" s="13">
        <f t="shared" ref="G184:G193" si="39">G183-((G$182-G$194)/12)</f>
        <v>18.374649999999999</v>
      </c>
      <c r="H184" s="13">
        <f t="shared" si="28"/>
        <v>16.88481351351351</v>
      </c>
      <c r="I184" s="13">
        <f t="shared" si="29"/>
        <v>14.898364864864865</v>
      </c>
      <c r="J184" s="13">
        <f t="shared" ref="J184:J193" si="40">J183-((J$182-J$194)/12)</f>
        <v>24.509058333333336</v>
      </c>
      <c r="K184" s="13">
        <f t="shared" si="30"/>
        <v>15.891589189189189</v>
      </c>
      <c r="L184" s="18">
        <f>L183+(L194-L182)/12</f>
        <v>18.874649999999999</v>
      </c>
      <c r="M184" s="18">
        <f>M183+(M194-M182)/12</f>
        <v>15.89444210526316</v>
      </c>
      <c r="N184" s="18">
        <f>N183+(N194-N182)/12</f>
        <v>14.404338157894736</v>
      </c>
    </row>
    <row r="185" spans="5:14">
      <c r="F185">
        <v>195</v>
      </c>
      <c r="G185" s="13">
        <f t="shared" si="39"/>
        <v>18.382874999999999</v>
      </c>
      <c r="H185" s="13">
        <f t="shared" si="28"/>
        <v>16.892371621621621</v>
      </c>
      <c r="I185" s="13">
        <f t="shared" si="29"/>
        <v>14.905033783783782</v>
      </c>
      <c r="J185" s="13">
        <f t="shared" si="40"/>
        <v>24.531462500000004</v>
      </c>
      <c r="K185" s="13">
        <f t="shared" si="30"/>
        <v>15.898702702702701</v>
      </c>
      <c r="L185" s="18">
        <f>L184+(L194-L182)/12</f>
        <v>18.882874999999999</v>
      </c>
      <c r="M185" s="18">
        <f>M184+(M194-M182)/12</f>
        <v>15.901368421052634</v>
      </c>
      <c r="N185" s="18">
        <f>N184+(N194-N182)/12</f>
        <v>14.410615131578947</v>
      </c>
    </row>
    <row r="186" spans="5:14">
      <c r="F186">
        <v>196</v>
      </c>
      <c r="G186" s="13">
        <f t="shared" si="39"/>
        <v>18.391099999999998</v>
      </c>
      <c r="H186" s="13">
        <f t="shared" si="28"/>
        <v>16.899929729729728</v>
      </c>
      <c r="I186" s="13">
        <f t="shared" si="29"/>
        <v>14.911702702702701</v>
      </c>
      <c r="J186" s="13">
        <f t="shared" si="40"/>
        <v>24.553866666666671</v>
      </c>
      <c r="K186" s="13">
        <f t="shared" si="30"/>
        <v>15.905816216216214</v>
      </c>
      <c r="L186" s="18">
        <f>L185+(L194-L182)/12</f>
        <v>18.891099999999998</v>
      </c>
      <c r="M186" s="18">
        <f>M185+(M194-M182)/12</f>
        <v>15.908294736842109</v>
      </c>
      <c r="N186" s="18">
        <f>N185+(N194-N182)/12</f>
        <v>14.416892105263157</v>
      </c>
    </row>
    <row r="187" spans="5:14">
      <c r="F187">
        <v>197</v>
      </c>
      <c r="G187" s="13">
        <f t="shared" si="39"/>
        <v>18.399324999999997</v>
      </c>
      <c r="H187" s="13">
        <f t="shared" si="28"/>
        <v>16.907487837837834</v>
      </c>
      <c r="I187" s="13">
        <f t="shared" si="29"/>
        <v>14.91837162162162</v>
      </c>
      <c r="J187" s="13">
        <f t="shared" si="40"/>
        <v>24.576270833333339</v>
      </c>
      <c r="K187" s="13">
        <f t="shared" si="30"/>
        <v>15.912929729729727</v>
      </c>
      <c r="L187" s="18">
        <f>L186+(L194-L182)/12</f>
        <v>18.899324999999997</v>
      </c>
      <c r="M187" s="18">
        <f>M186+(M194-M182)/12</f>
        <v>15.915221052631583</v>
      </c>
      <c r="N187" s="18">
        <f>N186+(N194-N182)/12</f>
        <v>14.423169078947367</v>
      </c>
    </row>
    <row r="188" spans="5:14">
      <c r="F188">
        <v>198</v>
      </c>
      <c r="G188" s="13">
        <f t="shared" si="39"/>
        <v>18.407549999999997</v>
      </c>
      <c r="H188" s="13">
        <f t="shared" si="28"/>
        <v>16.915045945945945</v>
      </c>
      <c r="I188" s="13">
        <f t="shared" si="29"/>
        <v>14.925040540540538</v>
      </c>
      <c r="J188" s="13">
        <f t="shared" si="40"/>
        <v>24.598675000000007</v>
      </c>
      <c r="K188" s="13">
        <f t="shared" si="30"/>
        <v>15.92004324324324</v>
      </c>
      <c r="L188" s="18">
        <f>L187+(L194-L182)/12</f>
        <v>18.907549999999997</v>
      </c>
      <c r="M188" s="18">
        <f>M187+(M194-M182)/12</f>
        <v>15.922147368421058</v>
      </c>
      <c r="N188" s="18">
        <f>N187+(N194-N182)/12</f>
        <v>14.429446052631578</v>
      </c>
    </row>
    <row r="189" spans="5:14">
      <c r="F189">
        <v>199</v>
      </c>
      <c r="G189" s="13">
        <f t="shared" si="39"/>
        <v>18.415774999999996</v>
      </c>
      <c r="H189" s="13">
        <f t="shared" si="28"/>
        <v>16.922604054054052</v>
      </c>
      <c r="I189" s="13">
        <f t="shared" si="29"/>
        <v>14.931709459459457</v>
      </c>
      <c r="J189" s="13">
        <f t="shared" si="40"/>
        <v>24.621079166666675</v>
      </c>
      <c r="K189" s="13">
        <f t="shared" si="30"/>
        <v>15.927156756756753</v>
      </c>
      <c r="L189" s="18">
        <f>L188+(L194-L182)/12</f>
        <v>18.915774999999996</v>
      </c>
      <c r="M189" s="18">
        <f>M188+(M194-M182)/12</f>
        <v>15.929073684210532</v>
      </c>
      <c r="N189" s="18">
        <f>N188+(N194-N182)/12</f>
        <v>14.435723026315788</v>
      </c>
    </row>
    <row r="190" spans="5:14">
      <c r="F190">
        <v>200</v>
      </c>
      <c r="G190" s="13">
        <f t="shared" si="39"/>
        <v>18.423999999999996</v>
      </c>
      <c r="H190" s="13">
        <f t="shared" si="28"/>
        <v>16.930162162162159</v>
      </c>
      <c r="I190" s="13">
        <f t="shared" si="29"/>
        <v>14.938378378378376</v>
      </c>
      <c r="J190" s="13">
        <f t="shared" si="40"/>
        <v>24.643483333333343</v>
      </c>
      <c r="K190" s="13">
        <f t="shared" si="30"/>
        <v>15.934270270270266</v>
      </c>
      <c r="L190" s="18">
        <f>L189+(L194-L182)/12</f>
        <v>18.923999999999996</v>
      </c>
      <c r="M190" s="18">
        <f>M189+(M194-M182)/12</f>
        <v>15.936000000000007</v>
      </c>
      <c r="N190" s="18">
        <f>N189+(N194-N182)/12</f>
        <v>14.441999999999998</v>
      </c>
    </row>
    <row r="191" spans="5:14">
      <c r="F191">
        <v>201</v>
      </c>
      <c r="G191" s="13">
        <f t="shared" si="39"/>
        <v>18.432224999999995</v>
      </c>
      <c r="H191" s="13">
        <f t="shared" si="28"/>
        <v>16.937720270270269</v>
      </c>
      <c r="I191" s="13">
        <f t="shared" si="29"/>
        <v>14.945047297297293</v>
      </c>
      <c r="J191" s="13">
        <f t="shared" si="40"/>
        <v>24.665887500000011</v>
      </c>
      <c r="K191" s="13">
        <f t="shared" si="30"/>
        <v>15.941383783783779</v>
      </c>
      <c r="L191" s="18">
        <f>L190+(L194-L182)/12</f>
        <v>18.932224999999995</v>
      </c>
      <c r="M191" s="18">
        <f>M190+(M194-M182)/12</f>
        <v>15.942926315789482</v>
      </c>
      <c r="N191" s="18">
        <f>N190+(N194-N182)/12</f>
        <v>14.448276973684209</v>
      </c>
    </row>
    <row r="192" spans="5:14">
      <c r="F192">
        <v>202</v>
      </c>
      <c r="G192" s="13">
        <f t="shared" si="39"/>
        <v>18.440449999999995</v>
      </c>
      <c r="H192" s="13">
        <f t="shared" si="28"/>
        <v>16.945278378378372</v>
      </c>
      <c r="I192" s="13">
        <f t="shared" si="29"/>
        <v>14.951716216216212</v>
      </c>
      <c r="J192" s="13">
        <f t="shared" si="40"/>
        <v>24.688291666666679</v>
      </c>
      <c r="K192" s="13">
        <f t="shared" si="30"/>
        <v>15.948497297297292</v>
      </c>
      <c r="L192" s="18">
        <f>L191+(L194-L182)/12</f>
        <v>18.940449999999995</v>
      </c>
      <c r="M192" s="18">
        <f>M191+(M194-M182)/12</f>
        <v>15.949852631578956</v>
      </c>
      <c r="N192" s="18">
        <f>N191+(N194-N182)/12</f>
        <v>14.454553947368419</v>
      </c>
    </row>
    <row r="193" spans="5:14">
      <c r="F193">
        <v>203</v>
      </c>
      <c r="G193" s="13">
        <f t="shared" si="39"/>
        <v>18.448674999999994</v>
      </c>
      <c r="H193" s="13">
        <f t="shared" si="28"/>
        <v>16.952836486486479</v>
      </c>
      <c r="I193" s="13">
        <f t="shared" si="29"/>
        <v>14.958385135135131</v>
      </c>
      <c r="J193" s="13">
        <f t="shared" si="40"/>
        <v>24.710695833333347</v>
      </c>
      <c r="K193" s="13">
        <f t="shared" si="30"/>
        <v>15.955610810810805</v>
      </c>
      <c r="L193" s="18">
        <f>L192+(L194-L182)/12</f>
        <v>18.948674999999994</v>
      </c>
      <c r="M193" s="18">
        <f>M192+(M194-M182)/12</f>
        <v>15.956778947368431</v>
      </c>
      <c r="N193" s="18">
        <f>N192+(N194-N182)/12</f>
        <v>14.460830921052629</v>
      </c>
    </row>
    <row r="194" spans="5:14">
      <c r="E194">
        <v>17</v>
      </c>
      <c r="F194">
        <v>204</v>
      </c>
      <c r="G194" s="19">
        <f>'Courbe IMC'!S$51</f>
        <v>18.456900000000001</v>
      </c>
      <c r="H194" s="13">
        <f t="shared" si="28"/>
        <v>16.960394594594597</v>
      </c>
      <c r="I194" s="13">
        <f t="shared" si="29"/>
        <v>14.965054054054054</v>
      </c>
      <c r="J194">
        <f>'Courbe IMC'!S$48</f>
        <v>24.7331</v>
      </c>
      <c r="K194" s="13">
        <f t="shared" si="30"/>
        <v>15.962724324324325</v>
      </c>
      <c r="L194" s="18">
        <f>G194+0.5</f>
        <v>18.956900000000001</v>
      </c>
      <c r="M194" s="18">
        <f>L194*16/19</f>
        <v>15.963705263157896</v>
      </c>
      <c r="N194" s="18">
        <f>L194*14.5/19</f>
        <v>14.467107894736841</v>
      </c>
    </row>
    <row r="195" spans="5:14">
      <c r="F195">
        <v>205</v>
      </c>
      <c r="G195" s="13">
        <f>G194-((G$194-G$206)/12)</f>
        <v>18.460491666666666</v>
      </c>
      <c r="H195" s="13">
        <f t="shared" ref="H195:H258" si="41">G195*17/18.5</f>
        <v>16.963695045045043</v>
      </c>
      <c r="I195" s="13">
        <f t="shared" ref="I195:I258" si="42">G195*15/18.5</f>
        <v>14.967966216216217</v>
      </c>
      <c r="J195" s="13">
        <f>J194-((J$194-J$206)/12)</f>
        <v>24.755341666666666</v>
      </c>
      <c r="K195" s="13">
        <f t="shared" ref="K195:K258" si="43">G195*16/18.5</f>
        <v>15.965830630630631</v>
      </c>
      <c r="L195" s="18">
        <f>L194+(L206-L194)/12</f>
        <v>18.960491666666666</v>
      </c>
      <c r="M195" s="18">
        <f>M194+(M206-M194)/12</f>
        <v>15.966729824561405</v>
      </c>
      <c r="N195" s="18">
        <f>N194+(N206-N194)/12</f>
        <v>14.469848903508771</v>
      </c>
    </row>
    <row r="196" spans="5:14">
      <c r="F196">
        <v>206</v>
      </c>
      <c r="G196" s="13">
        <f t="shared" ref="G196:G205" si="44">G195-((G$194-G$206)/12)</f>
        <v>18.464083333333331</v>
      </c>
      <c r="H196" s="13">
        <f t="shared" si="41"/>
        <v>16.966995495495496</v>
      </c>
      <c r="I196" s="13">
        <f t="shared" si="42"/>
        <v>14.970878378378377</v>
      </c>
      <c r="J196" s="13">
        <f t="shared" ref="J196:J205" si="45">J195-((J$194-J$206)/12)</f>
        <v>24.777583333333332</v>
      </c>
      <c r="K196" s="13">
        <f t="shared" si="43"/>
        <v>15.968936936936935</v>
      </c>
      <c r="L196" s="18">
        <f>L195+(L206-L194)/12</f>
        <v>18.964083333333331</v>
      </c>
      <c r="M196" s="18">
        <f>M195+(M206-M194)/12</f>
        <v>15.969754385964913</v>
      </c>
      <c r="N196" s="18">
        <f>N195+(N206-N194)/12</f>
        <v>14.4725899122807</v>
      </c>
    </row>
    <row r="197" spans="5:14">
      <c r="F197">
        <v>207</v>
      </c>
      <c r="G197" s="13">
        <f t="shared" si="44"/>
        <v>18.467674999999996</v>
      </c>
      <c r="H197" s="13">
        <f t="shared" si="41"/>
        <v>16.970295945945942</v>
      </c>
      <c r="I197" s="13">
        <f t="shared" si="42"/>
        <v>14.973790540540538</v>
      </c>
      <c r="J197" s="13">
        <f t="shared" si="45"/>
        <v>24.799824999999998</v>
      </c>
      <c r="K197" s="13">
        <f t="shared" si="43"/>
        <v>15.97204324324324</v>
      </c>
      <c r="L197" s="18">
        <f>L196+(L206-L194)/12</f>
        <v>18.967674999999996</v>
      </c>
      <c r="M197" s="18">
        <f>M196+(M206-M194)/12</f>
        <v>15.972778947368422</v>
      </c>
      <c r="N197" s="18">
        <f>N196+(N206-N194)/12</f>
        <v>14.475330921052629</v>
      </c>
    </row>
    <row r="198" spans="5:14">
      <c r="F198">
        <v>208</v>
      </c>
      <c r="G198" s="13">
        <f t="shared" si="44"/>
        <v>18.471266666666661</v>
      </c>
      <c r="H198" s="13">
        <f t="shared" si="41"/>
        <v>16.973596396396392</v>
      </c>
      <c r="I198" s="13">
        <f t="shared" si="42"/>
        <v>14.976702702702697</v>
      </c>
      <c r="J198" s="13">
        <f t="shared" si="45"/>
        <v>24.822066666666665</v>
      </c>
      <c r="K198" s="13">
        <f t="shared" si="43"/>
        <v>15.975149549549545</v>
      </c>
      <c r="L198" s="18">
        <f>L197+(L206-L194)/12</f>
        <v>18.971266666666661</v>
      </c>
      <c r="M198" s="18">
        <f>M197+(M206-M194)/12</f>
        <v>15.97580350877193</v>
      </c>
      <c r="N198" s="18">
        <f>N197+(N206-N194)/12</f>
        <v>14.478071929824559</v>
      </c>
    </row>
    <row r="199" spans="5:14">
      <c r="F199">
        <v>209</v>
      </c>
      <c r="G199" s="13">
        <f t="shared" si="44"/>
        <v>18.474858333333326</v>
      </c>
      <c r="H199" s="13">
        <f t="shared" si="41"/>
        <v>16.976896846846842</v>
      </c>
      <c r="I199" s="13">
        <f t="shared" si="42"/>
        <v>14.97961486486486</v>
      </c>
      <c r="J199" s="13">
        <f t="shared" si="45"/>
        <v>24.844308333333331</v>
      </c>
      <c r="K199" s="13">
        <f t="shared" si="43"/>
        <v>15.978255855855849</v>
      </c>
      <c r="L199" s="18">
        <f>L198+(L206-L194)/12</f>
        <v>18.974858333333326</v>
      </c>
      <c r="M199" s="18">
        <f>M198+(M206-M194)/12</f>
        <v>15.978828070175439</v>
      </c>
      <c r="N199" s="18">
        <f>N198+(N206-N194)/12</f>
        <v>14.480812938596488</v>
      </c>
    </row>
    <row r="200" spans="5:14">
      <c r="F200">
        <v>210</v>
      </c>
      <c r="G200" s="13">
        <f t="shared" si="44"/>
        <v>18.478449999999992</v>
      </c>
      <c r="H200" s="13">
        <f t="shared" si="41"/>
        <v>16.980197297297291</v>
      </c>
      <c r="I200" s="13">
        <f t="shared" si="42"/>
        <v>14.98252702702702</v>
      </c>
      <c r="J200" s="13">
        <f t="shared" si="45"/>
        <v>24.866549999999997</v>
      </c>
      <c r="K200" s="13">
        <f t="shared" si="43"/>
        <v>15.981362162162155</v>
      </c>
      <c r="L200" s="18">
        <f>L199+(L206-L194)/12</f>
        <v>18.978449999999992</v>
      </c>
      <c r="M200" s="18">
        <f>M199+(M206-M194)/12</f>
        <v>15.981852631578947</v>
      </c>
      <c r="N200" s="18">
        <f>N199+(N206-N194)/12</f>
        <v>14.483553947368417</v>
      </c>
    </row>
    <row r="201" spans="5:14">
      <c r="F201">
        <v>211</v>
      </c>
      <c r="G201" s="13">
        <f t="shared" si="44"/>
        <v>18.482041666666657</v>
      </c>
      <c r="H201" s="13">
        <f t="shared" si="41"/>
        <v>16.983497747747737</v>
      </c>
      <c r="I201" s="13">
        <f t="shared" si="42"/>
        <v>14.985439189189181</v>
      </c>
      <c r="J201" s="13">
        <f t="shared" si="45"/>
        <v>24.888791666666663</v>
      </c>
      <c r="K201" s="13">
        <f t="shared" si="43"/>
        <v>15.98446846846846</v>
      </c>
      <c r="L201" s="18">
        <f>L200+(L206-L194)/12</f>
        <v>18.982041666666657</v>
      </c>
      <c r="M201" s="18">
        <f>M200+(M206-M194)/12</f>
        <v>15.984877192982456</v>
      </c>
      <c r="N201" s="18">
        <f>N200+(N206-N194)/12</f>
        <v>14.486294956140346</v>
      </c>
    </row>
    <row r="202" spans="5:14">
      <c r="F202">
        <v>212</v>
      </c>
      <c r="G202" s="13">
        <f t="shared" si="44"/>
        <v>18.485633333333322</v>
      </c>
      <c r="H202" s="13">
        <f t="shared" si="41"/>
        <v>16.986798198198187</v>
      </c>
      <c r="I202" s="13">
        <f t="shared" si="42"/>
        <v>14.988351351351341</v>
      </c>
      <c r="J202" s="13">
        <f t="shared" si="45"/>
        <v>24.911033333333329</v>
      </c>
      <c r="K202" s="13">
        <f t="shared" si="43"/>
        <v>15.987574774774766</v>
      </c>
      <c r="L202" s="18">
        <f>L201+(L206-L194)/12</f>
        <v>18.985633333333322</v>
      </c>
      <c r="M202" s="18">
        <f>M201+(M206-M194)/12</f>
        <v>15.987901754385964</v>
      </c>
      <c r="N202" s="18">
        <f>N201+(N206-N194)/12</f>
        <v>14.489035964912276</v>
      </c>
    </row>
    <row r="203" spans="5:14">
      <c r="F203">
        <v>213</v>
      </c>
      <c r="G203" s="13">
        <f t="shared" si="44"/>
        <v>18.489224999999987</v>
      </c>
      <c r="H203" s="13">
        <f t="shared" si="41"/>
        <v>16.990098648648637</v>
      </c>
      <c r="I203" s="13">
        <f t="shared" si="42"/>
        <v>14.991263513513504</v>
      </c>
      <c r="J203" s="13">
        <f t="shared" si="45"/>
        <v>24.933274999999995</v>
      </c>
      <c r="K203" s="13">
        <f t="shared" si="43"/>
        <v>15.990681081081069</v>
      </c>
      <c r="L203" s="18">
        <f>L202+(L206-L194)/12</f>
        <v>18.989224999999987</v>
      </c>
      <c r="M203" s="18">
        <f>M202+(M206-M194)/12</f>
        <v>15.990926315789473</v>
      </c>
      <c r="N203" s="18">
        <f>N202+(N206-N194)/12</f>
        <v>14.491776973684205</v>
      </c>
    </row>
    <row r="204" spans="5:14">
      <c r="F204">
        <v>214</v>
      </c>
      <c r="G204" s="13">
        <f t="shared" si="44"/>
        <v>18.492816666666652</v>
      </c>
      <c r="H204" s="13">
        <f t="shared" si="41"/>
        <v>16.993399099099086</v>
      </c>
      <c r="I204" s="13">
        <f t="shared" si="42"/>
        <v>14.994175675675663</v>
      </c>
      <c r="J204" s="13">
        <f t="shared" si="45"/>
        <v>24.955516666666661</v>
      </c>
      <c r="K204" s="13">
        <f t="shared" si="43"/>
        <v>15.993787387387375</v>
      </c>
      <c r="L204" s="18">
        <f>L203+(L206-L194)/12</f>
        <v>18.992816666666652</v>
      </c>
      <c r="M204" s="18">
        <f>M203+(M206-M194)/12</f>
        <v>15.993950877192981</v>
      </c>
      <c r="N204" s="18">
        <f>N203+(N206-N194)/12</f>
        <v>14.494517982456134</v>
      </c>
    </row>
    <row r="205" spans="5:14">
      <c r="F205">
        <v>215</v>
      </c>
      <c r="G205" s="13">
        <f t="shared" si="44"/>
        <v>18.496408333333317</v>
      </c>
      <c r="H205" s="13">
        <f t="shared" si="41"/>
        <v>16.996699549549533</v>
      </c>
      <c r="I205" s="13">
        <f t="shared" si="42"/>
        <v>14.997087837837825</v>
      </c>
      <c r="J205" s="13">
        <f t="shared" si="45"/>
        <v>24.977758333333327</v>
      </c>
      <c r="K205" s="13">
        <f t="shared" si="43"/>
        <v>15.99689369369368</v>
      </c>
      <c r="L205" s="18">
        <f>L204+(L206-L194)/12</f>
        <v>18.996408333333317</v>
      </c>
      <c r="M205" s="18">
        <f>M204+(M206-M194)/12</f>
        <v>15.99697543859649</v>
      </c>
      <c r="N205" s="18">
        <f>N204+(N206-N194)/12</f>
        <v>14.497258991228064</v>
      </c>
    </row>
    <row r="206" spans="5:14">
      <c r="E206">
        <v>18</v>
      </c>
      <c r="F206">
        <v>216</v>
      </c>
      <c r="G206" s="19">
        <f>'Courbe IMC'!T$51</f>
        <v>18.5</v>
      </c>
      <c r="H206" s="13">
        <f t="shared" si="41"/>
        <v>17</v>
      </c>
      <c r="I206" s="13">
        <f t="shared" si="42"/>
        <v>15</v>
      </c>
      <c r="J206">
        <f>'Courbe IMC'!T$48</f>
        <v>25</v>
      </c>
      <c r="K206" s="13">
        <f t="shared" si="43"/>
        <v>16</v>
      </c>
      <c r="L206" s="18">
        <f>G206+0.5</f>
        <v>19</v>
      </c>
      <c r="M206" s="18">
        <f>L206*16/19</f>
        <v>16</v>
      </c>
      <c r="N206" s="18">
        <f>L206*14.5/19</f>
        <v>14.5</v>
      </c>
    </row>
    <row r="207" spans="5:14">
      <c r="F207">
        <v>217</v>
      </c>
      <c r="G207" s="13">
        <f>G206-((G$206-G$218)/12)</f>
        <v>18.5</v>
      </c>
      <c r="H207" s="13">
        <f t="shared" si="41"/>
        <v>17</v>
      </c>
      <c r="I207" s="13">
        <f t="shared" si="42"/>
        <v>15</v>
      </c>
      <c r="J207" s="13">
        <f>J206-((J$206-J$218)/12)</f>
        <v>25</v>
      </c>
      <c r="K207" s="13">
        <f t="shared" si="43"/>
        <v>16</v>
      </c>
      <c r="L207" s="18">
        <f>L206+(L218-L206)/12</f>
        <v>19</v>
      </c>
      <c r="M207" s="18">
        <f>M206+(M218-M206)/12</f>
        <v>16</v>
      </c>
      <c r="N207" s="18">
        <f>N206+(N218-N206)/12</f>
        <v>14.5</v>
      </c>
    </row>
    <row r="208" spans="5:14">
      <c r="F208">
        <v>218</v>
      </c>
      <c r="G208" s="13">
        <f t="shared" ref="G208:G217" si="46">G207-((G$206-G$218)/12)</f>
        <v>18.5</v>
      </c>
      <c r="H208" s="13">
        <f t="shared" si="41"/>
        <v>17</v>
      </c>
      <c r="I208" s="13">
        <f t="shared" si="42"/>
        <v>15</v>
      </c>
      <c r="J208" s="13">
        <f t="shared" ref="J208:J217" si="47">J207-((J$206-J$218)/12)</f>
        <v>25</v>
      </c>
      <c r="K208" s="13">
        <f t="shared" si="43"/>
        <v>16</v>
      </c>
      <c r="L208" s="18">
        <f>L207+(L218-L206)/12</f>
        <v>19</v>
      </c>
      <c r="M208" s="18">
        <f>M207+(M218-M206)/12</f>
        <v>16</v>
      </c>
      <c r="N208" s="18">
        <f>N207+(N218-N206)/12</f>
        <v>14.5</v>
      </c>
    </row>
    <row r="209" spans="5:14">
      <c r="F209">
        <v>219</v>
      </c>
      <c r="G209" s="13">
        <f t="shared" si="46"/>
        <v>18.5</v>
      </c>
      <c r="H209" s="13">
        <f t="shared" si="41"/>
        <v>17</v>
      </c>
      <c r="I209" s="13">
        <f t="shared" si="42"/>
        <v>15</v>
      </c>
      <c r="J209" s="13">
        <f t="shared" si="47"/>
        <v>25</v>
      </c>
      <c r="K209" s="13">
        <f t="shared" si="43"/>
        <v>16</v>
      </c>
      <c r="L209" s="18">
        <f>L208+(L218-L206)/12</f>
        <v>19</v>
      </c>
      <c r="M209" s="18">
        <f>M208+(M218-M206)/12</f>
        <v>16</v>
      </c>
      <c r="N209" s="18">
        <f>N208+(N218-N206)/12</f>
        <v>14.5</v>
      </c>
    </row>
    <row r="210" spans="5:14">
      <c r="F210">
        <v>220</v>
      </c>
      <c r="G210" s="13">
        <f t="shared" si="46"/>
        <v>18.5</v>
      </c>
      <c r="H210" s="13">
        <f t="shared" si="41"/>
        <v>17</v>
      </c>
      <c r="I210" s="13">
        <f t="shared" si="42"/>
        <v>15</v>
      </c>
      <c r="J210" s="13">
        <f t="shared" si="47"/>
        <v>25</v>
      </c>
      <c r="K210" s="13">
        <f t="shared" si="43"/>
        <v>16</v>
      </c>
      <c r="L210" s="18">
        <f>L209+(L218-L206)/12</f>
        <v>19</v>
      </c>
      <c r="M210" s="18">
        <f>M209+(M218-M206)/12</f>
        <v>16</v>
      </c>
      <c r="N210" s="18">
        <f>N209+(N218-N206)/12</f>
        <v>14.5</v>
      </c>
    </row>
    <row r="211" spans="5:14">
      <c r="F211">
        <v>221</v>
      </c>
      <c r="G211" s="13">
        <f t="shared" si="46"/>
        <v>18.5</v>
      </c>
      <c r="H211" s="13">
        <f t="shared" si="41"/>
        <v>17</v>
      </c>
      <c r="I211" s="13">
        <f t="shared" si="42"/>
        <v>15</v>
      </c>
      <c r="J211" s="13">
        <f t="shared" si="47"/>
        <v>25</v>
      </c>
      <c r="K211" s="13">
        <f t="shared" si="43"/>
        <v>16</v>
      </c>
      <c r="L211" s="18">
        <f>L210+(L218-L206)/12</f>
        <v>19</v>
      </c>
      <c r="M211" s="18">
        <f>M210+(M218-M206)/12</f>
        <v>16</v>
      </c>
      <c r="N211" s="18">
        <f>N210+(N218-N206)/12</f>
        <v>14.5</v>
      </c>
    </row>
    <row r="212" spans="5:14">
      <c r="F212">
        <v>222</v>
      </c>
      <c r="G212" s="13">
        <f t="shared" si="46"/>
        <v>18.5</v>
      </c>
      <c r="H212" s="13">
        <f t="shared" si="41"/>
        <v>17</v>
      </c>
      <c r="I212" s="13">
        <f t="shared" si="42"/>
        <v>15</v>
      </c>
      <c r="J212" s="13">
        <f t="shared" si="47"/>
        <v>25</v>
      </c>
      <c r="K212" s="13">
        <f t="shared" si="43"/>
        <v>16</v>
      </c>
      <c r="L212" s="18">
        <f>L211+(L218-L206)/12</f>
        <v>19</v>
      </c>
      <c r="M212" s="18">
        <f>M211+(M218-M206)/12</f>
        <v>16</v>
      </c>
      <c r="N212" s="18">
        <f>N211+(N218-N206)/12</f>
        <v>14.5</v>
      </c>
    </row>
    <row r="213" spans="5:14">
      <c r="F213">
        <v>223</v>
      </c>
      <c r="G213" s="13">
        <f t="shared" si="46"/>
        <v>18.5</v>
      </c>
      <c r="H213" s="13">
        <f t="shared" si="41"/>
        <v>17</v>
      </c>
      <c r="I213" s="13">
        <f t="shared" si="42"/>
        <v>15</v>
      </c>
      <c r="J213" s="13">
        <f t="shared" si="47"/>
        <v>25</v>
      </c>
      <c r="K213" s="13">
        <f t="shared" si="43"/>
        <v>16</v>
      </c>
      <c r="L213" s="18">
        <f>L212+(L218-L206)/12</f>
        <v>19</v>
      </c>
      <c r="M213" s="18">
        <f>M212+(M218-M206)/12</f>
        <v>16</v>
      </c>
      <c r="N213" s="18">
        <f>N212+(N218-N206)/12</f>
        <v>14.5</v>
      </c>
    </row>
    <row r="214" spans="5:14">
      <c r="F214">
        <v>224</v>
      </c>
      <c r="G214" s="13">
        <f t="shared" si="46"/>
        <v>18.5</v>
      </c>
      <c r="H214" s="13">
        <f t="shared" si="41"/>
        <v>17</v>
      </c>
      <c r="I214" s="13">
        <f t="shared" si="42"/>
        <v>15</v>
      </c>
      <c r="J214" s="13">
        <f t="shared" si="47"/>
        <v>25</v>
      </c>
      <c r="K214" s="13">
        <f t="shared" si="43"/>
        <v>16</v>
      </c>
      <c r="L214" s="18">
        <f>L213+(L218-L206)/12</f>
        <v>19</v>
      </c>
      <c r="M214" s="18">
        <f>M213+(M218-M206)/12</f>
        <v>16</v>
      </c>
      <c r="N214" s="18">
        <f>N213+(N218-N206)/12</f>
        <v>14.5</v>
      </c>
    </row>
    <row r="215" spans="5:14">
      <c r="F215">
        <v>225</v>
      </c>
      <c r="G215" s="13">
        <f t="shared" si="46"/>
        <v>18.5</v>
      </c>
      <c r="H215" s="13">
        <f t="shared" si="41"/>
        <v>17</v>
      </c>
      <c r="I215" s="13">
        <f t="shared" si="42"/>
        <v>15</v>
      </c>
      <c r="J215" s="13">
        <f t="shared" si="47"/>
        <v>25</v>
      </c>
      <c r="K215" s="13">
        <f t="shared" si="43"/>
        <v>16</v>
      </c>
      <c r="L215" s="18">
        <f>L214+(L218-L206)/12</f>
        <v>19</v>
      </c>
      <c r="M215" s="18">
        <f>M214+(M218-M206)/12</f>
        <v>16</v>
      </c>
      <c r="N215" s="18">
        <f>N214+(N218-N206)/12</f>
        <v>14.5</v>
      </c>
    </row>
    <row r="216" spans="5:14">
      <c r="F216">
        <v>226</v>
      </c>
      <c r="G216" s="13">
        <f t="shared" si="46"/>
        <v>18.5</v>
      </c>
      <c r="H216" s="13">
        <f t="shared" si="41"/>
        <v>17</v>
      </c>
      <c r="I216" s="13">
        <f t="shared" si="42"/>
        <v>15</v>
      </c>
      <c r="J216" s="13">
        <f t="shared" si="47"/>
        <v>25</v>
      </c>
      <c r="K216" s="13">
        <f t="shared" si="43"/>
        <v>16</v>
      </c>
      <c r="L216" s="18">
        <f>L215+(L218-L206)/12</f>
        <v>19</v>
      </c>
      <c r="M216" s="18">
        <f>M215+(M218-M206)/12</f>
        <v>16</v>
      </c>
      <c r="N216" s="18">
        <f>N215+(N218-N206)/12</f>
        <v>14.5</v>
      </c>
    </row>
    <row r="217" spans="5:14">
      <c r="F217">
        <v>227</v>
      </c>
      <c r="G217" s="13">
        <f t="shared" si="46"/>
        <v>18.5</v>
      </c>
      <c r="H217" s="13">
        <f t="shared" si="41"/>
        <v>17</v>
      </c>
      <c r="I217" s="13">
        <f t="shared" si="42"/>
        <v>15</v>
      </c>
      <c r="J217" s="13">
        <f t="shared" si="47"/>
        <v>25</v>
      </c>
      <c r="K217" s="13">
        <f t="shared" si="43"/>
        <v>16</v>
      </c>
      <c r="L217" s="18">
        <f>L216+(L218-L206)/12</f>
        <v>19</v>
      </c>
      <c r="M217" s="18">
        <f>M216+(M218-M206)/12</f>
        <v>16</v>
      </c>
      <c r="N217" s="18">
        <f>N216+(N218-N206)/12</f>
        <v>14.5</v>
      </c>
    </row>
    <row r="218" spans="5:14">
      <c r="E218">
        <v>19</v>
      </c>
      <c r="F218">
        <v>228</v>
      </c>
      <c r="G218" s="19">
        <f>'Courbe IMC'!U$51</f>
        <v>18.5</v>
      </c>
      <c r="H218" s="13">
        <f t="shared" si="41"/>
        <v>17</v>
      </c>
      <c r="I218" s="13">
        <f t="shared" si="42"/>
        <v>15</v>
      </c>
      <c r="J218">
        <f>'Courbe IMC'!U$48</f>
        <v>25</v>
      </c>
      <c r="K218" s="13">
        <f t="shared" si="43"/>
        <v>16</v>
      </c>
      <c r="L218" s="18">
        <f>G218+0.5</f>
        <v>19</v>
      </c>
      <c r="M218" s="18">
        <f>L218*16/19</f>
        <v>16</v>
      </c>
      <c r="N218" s="18">
        <f>L218*14.5/19</f>
        <v>14.5</v>
      </c>
    </row>
    <row r="219" spans="5:14">
      <c r="F219">
        <v>229</v>
      </c>
      <c r="G219" s="13">
        <f>G218-((G$218-G$230)/12)</f>
        <v>18.5</v>
      </c>
      <c r="H219" s="13">
        <f t="shared" si="41"/>
        <v>17</v>
      </c>
      <c r="I219" s="13">
        <f t="shared" si="42"/>
        <v>15</v>
      </c>
      <c r="J219" s="13">
        <f>J218-((J$218-J$230)/12)</f>
        <v>25</v>
      </c>
      <c r="K219" s="13">
        <f t="shared" si="43"/>
        <v>16</v>
      </c>
      <c r="L219" s="18">
        <f>L218+(L230-L218)/12</f>
        <v>19</v>
      </c>
      <c r="M219" s="18">
        <f>M218+(M230-M218)/12</f>
        <v>16</v>
      </c>
      <c r="N219" s="18">
        <f>N218+(N230-N218)/12</f>
        <v>14.5</v>
      </c>
    </row>
    <row r="220" spans="5:14">
      <c r="F220">
        <v>230</v>
      </c>
      <c r="G220" s="13">
        <f t="shared" ref="G220:G229" si="48">G219-((G$218-G$230)/12)</f>
        <v>18.5</v>
      </c>
      <c r="H220" s="13">
        <f t="shared" si="41"/>
        <v>17</v>
      </c>
      <c r="I220" s="13">
        <f t="shared" si="42"/>
        <v>15</v>
      </c>
      <c r="J220" s="13">
        <f t="shared" ref="J220:J229" si="49">J219-((J$218-J$230)/12)</f>
        <v>25</v>
      </c>
      <c r="K220" s="13">
        <f t="shared" si="43"/>
        <v>16</v>
      </c>
      <c r="L220" s="18">
        <f>L219+(L230-L218)/12</f>
        <v>19</v>
      </c>
      <c r="M220" s="18">
        <f>M219+(M230-M218)/12</f>
        <v>16</v>
      </c>
      <c r="N220" s="18">
        <f>N219+(N230-N218)/12</f>
        <v>14.5</v>
      </c>
    </row>
    <row r="221" spans="5:14">
      <c r="F221">
        <v>231</v>
      </c>
      <c r="G221" s="13">
        <f t="shared" si="48"/>
        <v>18.5</v>
      </c>
      <c r="H221" s="13">
        <f t="shared" si="41"/>
        <v>17</v>
      </c>
      <c r="I221" s="13">
        <f t="shared" si="42"/>
        <v>15</v>
      </c>
      <c r="J221" s="13">
        <f t="shared" si="49"/>
        <v>25</v>
      </c>
      <c r="K221" s="13">
        <f t="shared" si="43"/>
        <v>16</v>
      </c>
      <c r="L221" s="18">
        <f>L220+(L230-L218)/12</f>
        <v>19</v>
      </c>
      <c r="M221" s="18">
        <f>M220+(M230-M218)/12</f>
        <v>16</v>
      </c>
      <c r="N221" s="18">
        <f>N220+(N230-N218)/12</f>
        <v>14.5</v>
      </c>
    </row>
    <row r="222" spans="5:14">
      <c r="F222">
        <v>232</v>
      </c>
      <c r="G222" s="13">
        <f t="shared" si="48"/>
        <v>18.5</v>
      </c>
      <c r="H222" s="13">
        <f t="shared" si="41"/>
        <v>17</v>
      </c>
      <c r="I222" s="13">
        <f t="shared" si="42"/>
        <v>15</v>
      </c>
      <c r="J222" s="13">
        <f t="shared" si="49"/>
        <v>25</v>
      </c>
      <c r="K222" s="13">
        <f t="shared" si="43"/>
        <v>16</v>
      </c>
      <c r="L222" s="18">
        <f>L221+(L230-L218)/12</f>
        <v>19</v>
      </c>
      <c r="M222" s="18">
        <f>M221+(M230-M218)/12</f>
        <v>16</v>
      </c>
      <c r="N222" s="18">
        <f>N221+(N230-N218)/12</f>
        <v>14.5</v>
      </c>
    </row>
    <row r="223" spans="5:14">
      <c r="F223">
        <v>233</v>
      </c>
      <c r="G223" s="13">
        <f t="shared" si="48"/>
        <v>18.5</v>
      </c>
      <c r="H223" s="13">
        <f t="shared" si="41"/>
        <v>17</v>
      </c>
      <c r="I223" s="13">
        <f t="shared" si="42"/>
        <v>15</v>
      </c>
      <c r="J223" s="13">
        <f t="shared" si="49"/>
        <v>25</v>
      </c>
      <c r="K223" s="13">
        <f t="shared" si="43"/>
        <v>16</v>
      </c>
      <c r="L223" s="18">
        <f>L222+(L230-L218)/12</f>
        <v>19</v>
      </c>
      <c r="M223" s="18">
        <f>M222+(M230-M218)/12</f>
        <v>16</v>
      </c>
      <c r="N223" s="18">
        <f>N222+(N230-N218)/12</f>
        <v>14.5</v>
      </c>
    </row>
    <row r="224" spans="5:14">
      <c r="F224">
        <v>234</v>
      </c>
      <c r="G224" s="13">
        <f t="shared" si="48"/>
        <v>18.5</v>
      </c>
      <c r="H224" s="13">
        <f t="shared" si="41"/>
        <v>17</v>
      </c>
      <c r="I224" s="13">
        <f t="shared" si="42"/>
        <v>15</v>
      </c>
      <c r="J224" s="13">
        <f t="shared" si="49"/>
        <v>25</v>
      </c>
      <c r="K224" s="13">
        <f t="shared" si="43"/>
        <v>16</v>
      </c>
      <c r="L224" s="18">
        <f>L223+(L230-L218)/12</f>
        <v>19</v>
      </c>
      <c r="M224" s="18">
        <f>M223+(M230-M218)/12</f>
        <v>16</v>
      </c>
      <c r="N224" s="18">
        <f>N223+(N230-N218)/12</f>
        <v>14.5</v>
      </c>
    </row>
    <row r="225" spans="5:14">
      <c r="F225">
        <v>235</v>
      </c>
      <c r="G225" s="13">
        <f t="shared" si="48"/>
        <v>18.5</v>
      </c>
      <c r="H225" s="13">
        <f t="shared" si="41"/>
        <v>17</v>
      </c>
      <c r="I225" s="13">
        <f t="shared" si="42"/>
        <v>15</v>
      </c>
      <c r="J225" s="13">
        <f t="shared" si="49"/>
        <v>25</v>
      </c>
      <c r="K225" s="13">
        <f t="shared" si="43"/>
        <v>16</v>
      </c>
      <c r="L225" s="18">
        <f>L224+(L230-L218)/12</f>
        <v>19</v>
      </c>
      <c r="M225" s="18">
        <f>M224+(M230-M218)/12</f>
        <v>16</v>
      </c>
      <c r="N225" s="18">
        <f>N224+(N230-N218)/12</f>
        <v>14.5</v>
      </c>
    </row>
    <row r="226" spans="5:14">
      <c r="F226">
        <v>236</v>
      </c>
      <c r="G226" s="13">
        <f t="shared" si="48"/>
        <v>18.5</v>
      </c>
      <c r="H226" s="13">
        <f t="shared" si="41"/>
        <v>17</v>
      </c>
      <c r="I226" s="13">
        <f t="shared" si="42"/>
        <v>15</v>
      </c>
      <c r="J226" s="13">
        <f t="shared" si="49"/>
        <v>25</v>
      </c>
      <c r="K226" s="13">
        <f t="shared" si="43"/>
        <v>16</v>
      </c>
      <c r="L226" s="18">
        <f>L225+(L230-L218)/12</f>
        <v>19</v>
      </c>
      <c r="M226" s="18">
        <f>M225+(M230-M218)/12</f>
        <v>16</v>
      </c>
      <c r="N226" s="18">
        <f>N225+(N230-N218)/12</f>
        <v>14.5</v>
      </c>
    </row>
    <row r="227" spans="5:14">
      <c r="F227">
        <v>237</v>
      </c>
      <c r="G227" s="13">
        <f t="shared" si="48"/>
        <v>18.5</v>
      </c>
      <c r="H227" s="13">
        <f t="shared" si="41"/>
        <v>17</v>
      </c>
      <c r="I227" s="13">
        <f t="shared" si="42"/>
        <v>15</v>
      </c>
      <c r="J227" s="13">
        <f t="shared" si="49"/>
        <v>25</v>
      </c>
      <c r="K227" s="13">
        <f t="shared" si="43"/>
        <v>16</v>
      </c>
      <c r="L227" s="18">
        <f>L226+(L230-L218)/12</f>
        <v>19</v>
      </c>
      <c r="M227" s="18">
        <f>M226+(M230-M218)/12</f>
        <v>16</v>
      </c>
      <c r="N227" s="18">
        <f>N226+(N230-N218)/12</f>
        <v>14.5</v>
      </c>
    </row>
    <row r="228" spans="5:14">
      <c r="F228">
        <v>238</v>
      </c>
      <c r="G228" s="13">
        <f t="shared" si="48"/>
        <v>18.5</v>
      </c>
      <c r="H228" s="13">
        <f t="shared" si="41"/>
        <v>17</v>
      </c>
      <c r="I228" s="13">
        <f t="shared" si="42"/>
        <v>15</v>
      </c>
      <c r="J228" s="13">
        <f t="shared" si="49"/>
        <v>25</v>
      </c>
      <c r="K228" s="13">
        <f t="shared" si="43"/>
        <v>16</v>
      </c>
      <c r="L228" s="18">
        <f>L227+(L230-L218)/12</f>
        <v>19</v>
      </c>
      <c r="M228" s="18">
        <f>M227+(M230-M218)/12</f>
        <v>16</v>
      </c>
      <c r="N228" s="18">
        <f>N227+(N230-N218)/12</f>
        <v>14.5</v>
      </c>
    </row>
    <row r="229" spans="5:14">
      <c r="F229">
        <v>239</v>
      </c>
      <c r="G229" s="13">
        <f t="shared" si="48"/>
        <v>18.5</v>
      </c>
      <c r="H229" s="13">
        <f t="shared" si="41"/>
        <v>17</v>
      </c>
      <c r="I229" s="13">
        <f t="shared" si="42"/>
        <v>15</v>
      </c>
      <c r="J229" s="13">
        <f t="shared" si="49"/>
        <v>25</v>
      </c>
      <c r="K229" s="13">
        <f t="shared" si="43"/>
        <v>16</v>
      </c>
      <c r="L229" s="18">
        <f>L228+(L230-L218)/12</f>
        <v>19</v>
      </c>
      <c r="M229" s="18">
        <f>M228+(M230-M218)/12</f>
        <v>16</v>
      </c>
      <c r="N229" s="18">
        <f>N228+(N230-N218)/12</f>
        <v>14.5</v>
      </c>
    </row>
    <row r="230" spans="5:14">
      <c r="E230">
        <v>20</v>
      </c>
      <c r="F230">
        <v>240</v>
      </c>
      <c r="G230" s="19">
        <f>'Courbe IMC'!V$51</f>
        <v>18.5</v>
      </c>
      <c r="H230" s="13">
        <f t="shared" si="41"/>
        <v>17</v>
      </c>
      <c r="I230" s="13">
        <f t="shared" si="42"/>
        <v>15</v>
      </c>
      <c r="J230">
        <f>'Courbe IMC'!V$48</f>
        <v>25</v>
      </c>
      <c r="K230" s="13">
        <f t="shared" si="43"/>
        <v>16</v>
      </c>
      <c r="L230" s="18">
        <f>G230+0.5</f>
        <v>19</v>
      </c>
      <c r="M230" s="18">
        <f>L230*16/19</f>
        <v>16</v>
      </c>
      <c r="N230" s="18">
        <f>L230*14.5/19</f>
        <v>14.5</v>
      </c>
    </row>
    <row r="231" spans="5:14">
      <c r="F231">
        <v>241</v>
      </c>
      <c r="G231" s="13">
        <f>G230-((G$230-G$242)/12)</f>
        <v>18.5</v>
      </c>
      <c r="H231" s="13">
        <f t="shared" si="41"/>
        <v>17</v>
      </c>
      <c r="I231" s="13">
        <f t="shared" si="42"/>
        <v>15</v>
      </c>
      <c r="J231" s="13">
        <f>J230-((J$230-J$242)/12)</f>
        <v>25</v>
      </c>
      <c r="K231" s="13">
        <f t="shared" si="43"/>
        <v>16</v>
      </c>
      <c r="L231" s="18">
        <f>L230+(L242-L230)/12</f>
        <v>19</v>
      </c>
      <c r="M231" s="18">
        <f>M230+(M242-M230)/12</f>
        <v>16</v>
      </c>
      <c r="N231" s="18">
        <f>N230+(N242-N230)/12</f>
        <v>14.5</v>
      </c>
    </row>
    <row r="232" spans="5:14">
      <c r="F232">
        <v>242</v>
      </c>
      <c r="G232" s="13">
        <f t="shared" ref="G232:G241" si="50">G231-((G$230-G$242)/12)</f>
        <v>18.5</v>
      </c>
      <c r="H232" s="13">
        <f t="shared" si="41"/>
        <v>17</v>
      </c>
      <c r="I232" s="13">
        <f t="shared" si="42"/>
        <v>15</v>
      </c>
      <c r="J232" s="13">
        <f t="shared" ref="J232:J241" si="51">J231-((J$230-J$242)/12)</f>
        <v>25</v>
      </c>
      <c r="K232" s="13">
        <f t="shared" si="43"/>
        <v>16</v>
      </c>
      <c r="L232" s="18">
        <f>L231+(L242-L230)/12</f>
        <v>19</v>
      </c>
      <c r="M232" s="18">
        <f>M231+(M242-M230)/12</f>
        <v>16</v>
      </c>
      <c r="N232" s="18">
        <f>N231+(N242-N230)/12</f>
        <v>14.5</v>
      </c>
    </row>
    <row r="233" spans="5:14">
      <c r="F233">
        <v>243</v>
      </c>
      <c r="G233" s="13">
        <f t="shared" si="50"/>
        <v>18.5</v>
      </c>
      <c r="H233" s="13">
        <f t="shared" si="41"/>
        <v>17</v>
      </c>
      <c r="I233" s="13">
        <f t="shared" si="42"/>
        <v>15</v>
      </c>
      <c r="J233" s="13">
        <f t="shared" si="51"/>
        <v>25</v>
      </c>
      <c r="K233" s="13">
        <f t="shared" si="43"/>
        <v>16</v>
      </c>
      <c r="L233" s="18">
        <f>L232+(L242-L230)/12</f>
        <v>19</v>
      </c>
      <c r="M233" s="18">
        <f>M232+(M242-M230)/12</f>
        <v>16</v>
      </c>
      <c r="N233" s="18">
        <f>N232+(N242-N230)/12</f>
        <v>14.5</v>
      </c>
    </row>
    <row r="234" spans="5:14">
      <c r="F234">
        <v>244</v>
      </c>
      <c r="G234" s="13">
        <f t="shared" si="50"/>
        <v>18.5</v>
      </c>
      <c r="H234" s="13">
        <f t="shared" si="41"/>
        <v>17</v>
      </c>
      <c r="I234" s="13">
        <f t="shared" si="42"/>
        <v>15</v>
      </c>
      <c r="J234" s="13">
        <f t="shared" si="51"/>
        <v>25</v>
      </c>
      <c r="K234" s="13">
        <f t="shared" si="43"/>
        <v>16</v>
      </c>
      <c r="L234" s="18">
        <f>L233+(L242-L230)/12</f>
        <v>19</v>
      </c>
      <c r="M234" s="18">
        <f>M233+(M242-M230)/12</f>
        <v>16</v>
      </c>
      <c r="N234" s="18">
        <f>N233+(N242-N230)/12</f>
        <v>14.5</v>
      </c>
    </row>
    <row r="235" spans="5:14">
      <c r="F235">
        <v>245</v>
      </c>
      <c r="G235" s="13">
        <f t="shared" si="50"/>
        <v>18.5</v>
      </c>
      <c r="H235" s="13">
        <f t="shared" si="41"/>
        <v>17</v>
      </c>
      <c r="I235" s="13">
        <f t="shared" si="42"/>
        <v>15</v>
      </c>
      <c r="J235" s="13">
        <f t="shared" si="51"/>
        <v>25</v>
      </c>
      <c r="K235" s="13">
        <f t="shared" si="43"/>
        <v>16</v>
      </c>
      <c r="L235" s="18">
        <f>L234+(L242-L230)/12</f>
        <v>19</v>
      </c>
      <c r="M235" s="18">
        <f>M234+(M242-M230)/12</f>
        <v>16</v>
      </c>
      <c r="N235" s="18">
        <f>N234+(N242-N230)/12</f>
        <v>14.5</v>
      </c>
    </row>
    <row r="236" spans="5:14">
      <c r="F236">
        <v>246</v>
      </c>
      <c r="G236" s="13">
        <f t="shared" si="50"/>
        <v>18.5</v>
      </c>
      <c r="H236" s="13">
        <f t="shared" si="41"/>
        <v>17</v>
      </c>
      <c r="I236" s="13">
        <f t="shared" si="42"/>
        <v>15</v>
      </c>
      <c r="J236" s="13">
        <f t="shared" si="51"/>
        <v>25</v>
      </c>
      <c r="K236" s="13">
        <f t="shared" si="43"/>
        <v>16</v>
      </c>
      <c r="L236" s="18">
        <f>L235+(L242-L230)/12</f>
        <v>19</v>
      </c>
      <c r="M236" s="18">
        <f>M235+(M242-M230)/12</f>
        <v>16</v>
      </c>
      <c r="N236" s="18">
        <f>N235+(N242-N230)/12</f>
        <v>14.5</v>
      </c>
    </row>
    <row r="237" spans="5:14">
      <c r="F237">
        <v>247</v>
      </c>
      <c r="G237" s="13">
        <f t="shared" si="50"/>
        <v>18.5</v>
      </c>
      <c r="H237" s="13">
        <f t="shared" si="41"/>
        <v>17</v>
      </c>
      <c r="I237" s="13">
        <f t="shared" si="42"/>
        <v>15</v>
      </c>
      <c r="J237" s="13">
        <f t="shared" si="51"/>
        <v>25</v>
      </c>
      <c r="K237" s="13">
        <f t="shared" si="43"/>
        <v>16</v>
      </c>
      <c r="L237" s="18">
        <f>L236+(L242-L230)/12</f>
        <v>19</v>
      </c>
      <c r="M237" s="18">
        <f>M236+(M242-M230)/12</f>
        <v>16</v>
      </c>
      <c r="N237" s="18">
        <f>N236+(N242-N230)/12</f>
        <v>14.5</v>
      </c>
    </row>
    <row r="238" spans="5:14">
      <c r="F238">
        <v>248</v>
      </c>
      <c r="G238" s="13">
        <f t="shared" si="50"/>
        <v>18.5</v>
      </c>
      <c r="H238" s="13">
        <f t="shared" si="41"/>
        <v>17</v>
      </c>
      <c r="I238" s="13">
        <f t="shared" si="42"/>
        <v>15</v>
      </c>
      <c r="J238" s="13">
        <f t="shared" si="51"/>
        <v>25</v>
      </c>
      <c r="K238" s="13">
        <f t="shared" si="43"/>
        <v>16</v>
      </c>
      <c r="L238" s="18">
        <f>L237+(L242-L230)/12</f>
        <v>19</v>
      </c>
      <c r="M238" s="18">
        <f>M237+(M242-M230)/12</f>
        <v>16</v>
      </c>
      <c r="N238" s="18">
        <f>N237+(N242-N230)/12</f>
        <v>14.5</v>
      </c>
    </row>
    <row r="239" spans="5:14">
      <c r="F239">
        <v>249</v>
      </c>
      <c r="G239" s="13">
        <f t="shared" si="50"/>
        <v>18.5</v>
      </c>
      <c r="H239" s="13">
        <f t="shared" si="41"/>
        <v>17</v>
      </c>
      <c r="I239" s="13">
        <f t="shared" si="42"/>
        <v>15</v>
      </c>
      <c r="J239" s="13">
        <f t="shared" si="51"/>
        <v>25</v>
      </c>
      <c r="K239" s="13">
        <f t="shared" si="43"/>
        <v>16</v>
      </c>
      <c r="L239" s="18">
        <f>L238+(L242-L230)/12</f>
        <v>19</v>
      </c>
      <c r="M239" s="18">
        <f>M238+(M242-M230)/12</f>
        <v>16</v>
      </c>
      <c r="N239" s="18">
        <f>N238+(N242-N230)/12</f>
        <v>14.5</v>
      </c>
    </row>
    <row r="240" spans="5:14">
      <c r="F240">
        <v>250</v>
      </c>
      <c r="G240" s="13">
        <f t="shared" si="50"/>
        <v>18.5</v>
      </c>
      <c r="H240" s="13">
        <f t="shared" si="41"/>
        <v>17</v>
      </c>
      <c r="I240" s="13">
        <f t="shared" si="42"/>
        <v>15</v>
      </c>
      <c r="J240" s="13">
        <f t="shared" si="51"/>
        <v>25</v>
      </c>
      <c r="K240" s="13">
        <f t="shared" si="43"/>
        <v>16</v>
      </c>
      <c r="L240" s="18">
        <f>L239+(L242-L230)/12</f>
        <v>19</v>
      </c>
      <c r="M240" s="18">
        <f>M239+(M242-M230)/12</f>
        <v>16</v>
      </c>
      <c r="N240" s="18">
        <f>N239+(N242-N230)/12</f>
        <v>14.5</v>
      </c>
    </row>
    <row r="241" spans="5:14">
      <c r="F241">
        <v>251</v>
      </c>
      <c r="G241" s="13">
        <f t="shared" si="50"/>
        <v>18.5</v>
      </c>
      <c r="H241" s="13">
        <f t="shared" si="41"/>
        <v>17</v>
      </c>
      <c r="I241" s="13">
        <f t="shared" si="42"/>
        <v>15</v>
      </c>
      <c r="J241" s="13">
        <f t="shared" si="51"/>
        <v>25</v>
      </c>
      <c r="K241" s="13">
        <f t="shared" si="43"/>
        <v>16</v>
      </c>
      <c r="L241" s="18">
        <f>L240+(L242-L230)/12</f>
        <v>19</v>
      </c>
      <c r="M241" s="18">
        <f>M240+(M242-M230)/12</f>
        <v>16</v>
      </c>
      <c r="N241" s="18">
        <f>N240+(N242-N230)/12</f>
        <v>14.5</v>
      </c>
    </row>
    <row r="242" spans="5:14">
      <c r="E242">
        <v>21</v>
      </c>
      <c r="F242">
        <v>252</v>
      </c>
      <c r="G242" s="19">
        <f>'Courbe IMC'!W$51</f>
        <v>18.5</v>
      </c>
      <c r="H242" s="13">
        <f t="shared" si="41"/>
        <v>17</v>
      </c>
      <c r="I242" s="13">
        <f t="shared" si="42"/>
        <v>15</v>
      </c>
      <c r="J242">
        <f>'Courbe IMC'!W$48</f>
        <v>25</v>
      </c>
      <c r="K242" s="13">
        <f t="shared" si="43"/>
        <v>16</v>
      </c>
      <c r="L242" s="18">
        <f>G242+0.5</f>
        <v>19</v>
      </c>
      <c r="M242" s="18">
        <f>L242*16/19</f>
        <v>16</v>
      </c>
      <c r="N242" s="18">
        <f>L242*14.5/19</f>
        <v>14.5</v>
      </c>
    </row>
    <row r="243" spans="5:14">
      <c r="F243">
        <v>253</v>
      </c>
      <c r="G243" s="13">
        <f>G242-((G$242-G$254)/12)</f>
        <v>18.5</v>
      </c>
      <c r="H243" s="13">
        <f t="shared" si="41"/>
        <v>17</v>
      </c>
      <c r="I243" s="13">
        <f t="shared" si="42"/>
        <v>15</v>
      </c>
      <c r="J243" s="13">
        <f>J242-((J$242-J$254)/12)</f>
        <v>25</v>
      </c>
      <c r="K243" s="13">
        <f t="shared" si="43"/>
        <v>16</v>
      </c>
      <c r="L243" s="18">
        <f>L242+(L254-L242)/12</f>
        <v>19</v>
      </c>
      <c r="M243" s="18">
        <f>M242+(M254-M242)/12</f>
        <v>16</v>
      </c>
      <c r="N243" s="18">
        <f>N242+(N254-N242)/12</f>
        <v>14.5</v>
      </c>
    </row>
    <row r="244" spans="5:14">
      <c r="F244">
        <v>254</v>
      </c>
      <c r="G244" s="13">
        <f>G243-((G$242-G$254)/12)</f>
        <v>18.5</v>
      </c>
      <c r="H244" s="13">
        <f t="shared" si="41"/>
        <v>17</v>
      </c>
      <c r="I244" s="13">
        <f t="shared" si="42"/>
        <v>15</v>
      </c>
      <c r="J244" s="13">
        <f t="shared" ref="J244:J253" si="52">J243-((J$242-J$254)/12)</f>
        <v>25</v>
      </c>
      <c r="K244" s="13">
        <f t="shared" si="43"/>
        <v>16</v>
      </c>
      <c r="L244" s="18">
        <f>L243+(L254-L242)/12</f>
        <v>19</v>
      </c>
      <c r="M244" s="18">
        <f>M243+(M254-M242)/12</f>
        <v>16</v>
      </c>
      <c r="N244" s="18">
        <f>N243+(N254-N242)/12</f>
        <v>14.5</v>
      </c>
    </row>
    <row r="245" spans="5:14">
      <c r="F245">
        <v>255</v>
      </c>
      <c r="G245" s="13">
        <f t="shared" ref="G245:G253" si="53">G244-((G$242-G$254)/12)</f>
        <v>18.5</v>
      </c>
      <c r="H245" s="13">
        <f t="shared" si="41"/>
        <v>17</v>
      </c>
      <c r="I245" s="13">
        <f t="shared" si="42"/>
        <v>15</v>
      </c>
      <c r="J245" s="13">
        <f t="shared" si="52"/>
        <v>25</v>
      </c>
      <c r="K245" s="13">
        <f t="shared" si="43"/>
        <v>16</v>
      </c>
      <c r="L245" s="18">
        <f>L244+(L254-L242)/12</f>
        <v>19</v>
      </c>
      <c r="M245" s="18">
        <f>M244+(M254-M242)/12</f>
        <v>16</v>
      </c>
      <c r="N245" s="18">
        <f>N244+(N254-N242)/12</f>
        <v>14.5</v>
      </c>
    </row>
    <row r="246" spans="5:14">
      <c r="F246">
        <v>256</v>
      </c>
      <c r="G246" s="13">
        <f t="shared" si="53"/>
        <v>18.5</v>
      </c>
      <c r="H246" s="13">
        <f t="shared" si="41"/>
        <v>17</v>
      </c>
      <c r="I246" s="13">
        <f t="shared" si="42"/>
        <v>15</v>
      </c>
      <c r="J246" s="13">
        <f t="shared" si="52"/>
        <v>25</v>
      </c>
      <c r="K246" s="13">
        <f t="shared" si="43"/>
        <v>16</v>
      </c>
      <c r="L246" s="18">
        <f>L245+(L254-L242)/12</f>
        <v>19</v>
      </c>
      <c r="M246" s="18">
        <f>M245+(M254-M242)/12</f>
        <v>16</v>
      </c>
      <c r="N246" s="18">
        <f>N245+(N254-N242)/12</f>
        <v>14.5</v>
      </c>
    </row>
    <row r="247" spans="5:14">
      <c r="F247">
        <v>257</v>
      </c>
      <c r="G247" s="13">
        <f t="shared" si="53"/>
        <v>18.5</v>
      </c>
      <c r="H247" s="13">
        <f t="shared" si="41"/>
        <v>17</v>
      </c>
      <c r="I247" s="13">
        <f t="shared" si="42"/>
        <v>15</v>
      </c>
      <c r="J247" s="13">
        <f t="shared" si="52"/>
        <v>25</v>
      </c>
      <c r="K247" s="13">
        <f t="shared" si="43"/>
        <v>16</v>
      </c>
      <c r="L247" s="18">
        <f>L246+(L254-L242)/12</f>
        <v>19</v>
      </c>
      <c r="M247" s="18">
        <f>M246+(M254-M242)/12</f>
        <v>16</v>
      </c>
      <c r="N247" s="18">
        <f>N246+(N254-N242)/12</f>
        <v>14.5</v>
      </c>
    </row>
    <row r="248" spans="5:14">
      <c r="F248">
        <v>258</v>
      </c>
      <c r="G248" s="13">
        <f t="shared" si="53"/>
        <v>18.5</v>
      </c>
      <c r="H248" s="13">
        <f t="shared" si="41"/>
        <v>17</v>
      </c>
      <c r="I248" s="13">
        <f t="shared" si="42"/>
        <v>15</v>
      </c>
      <c r="J248" s="13">
        <f t="shared" si="52"/>
        <v>25</v>
      </c>
      <c r="K248" s="13">
        <f t="shared" si="43"/>
        <v>16</v>
      </c>
      <c r="L248" s="18">
        <f>L247+(L254-L242)/12</f>
        <v>19</v>
      </c>
      <c r="M248" s="18">
        <f>M247+(M254-M242)/12</f>
        <v>16</v>
      </c>
      <c r="N248" s="18">
        <f>N247+(N254-N242)/12</f>
        <v>14.5</v>
      </c>
    </row>
    <row r="249" spans="5:14">
      <c r="F249">
        <v>259</v>
      </c>
      <c r="G249" s="13">
        <f t="shared" si="53"/>
        <v>18.5</v>
      </c>
      <c r="H249" s="13">
        <f t="shared" si="41"/>
        <v>17</v>
      </c>
      <c r="I249" s="13">
        <f t="shared" si="42"/>
        <v>15</v>
      </c>
      <c r="J249" s="13">
        <f t="shared" si="52"/>
        <v>25</v>
      </c>
      <c r="K249" s="13">
        <f t="shared" si="43"/>
        <v>16</v>
      </c>
      <c r="L249" s="18">
        <f>L248+(L254-L242)/12</f>
        <v>19</v>
      </c>
      <c r="M249" s="18">
        <f>M248+(M254-M242)/12</f>
        <v>16</v>
      </c>
      <c r="N249" s="18">
        <f>N248+(N254-N242)/12</f>
        <v>14.5</v>
      </c>
    </row>
    <row r="250" spans="5:14">
      <c r="F250">
        <v>260</v>
      </c>
      <c r="G250" s="13">
        <f t="shared" si="53"/>
        <v>18.5</v>
      </c>
      <c r="H250" s="13">
        <f t="shared" si="41"/>
        <v>17</v>
      </c>
      <c r="I250" s="13">
        <f t="shared" si="42"/>
        <v>15</v>
      </c>
      <c r="J250" s="13">
        <f t="shared" si="52"/>
        <v>25</v>
      </c>
      <c r="K250" s="13">
        <f t="shared" si="43"/>
        <v>16</v>
      </c>
      <c r="L250" s="18">
        <f>L249+(L254-L242)/12</f>
        <v>19</v>
      </c>
      <c r="M250" s="18">
        <f>M249+(M254-M242)/12</f>
        <v>16</v>
      </c>
      <c r="N250" s="18">
        <f>N249+(N254-N242)/12</f>
        <v>14.5</v>
      </c>
    </row>
    <row r="251" spans="5:14">
      <c r="F251">
        <v>261</v>
      </c>
      <c r="G251" s="13">
        <f t="shared" si="53"/>
        <v>18.5</v>
      </c>
      <c r="H251" s="13">
        <f t="shared" si="41"/>
        <v>17</v>
      </c>
      <c r="I251" s="13">
        <f t="shared" si="42"/>
        <v>15</v>
      </c>
      <c r="J251" s="13">
        <f t="shared" si="52"/>
        <v>25</v>
      </c>
      <c r="K251" s="13">
        <f t="shared" si="43"/>
        <v>16</v>
      </c>
      <c r="L251" s="18">
        <f>L250+(L254-L242)/12</f>
        <v>19</v>
      </c>
      <c r="M251" s="18">
        <f>M250+(M254-M242)/12</f>
        <v>16</v>
      </c>
      <c r="N251" s="18">
        <f>N250+(N254-N242)/12</f>
        <v>14.5</v>
      </c>
    </row>
    <row r="252" spans="5:14">
      <c r="F252">
        <v>262</v>
      </c>
      <c r="G252" s="13">
        <f t="shared" si="53"/>
        <v>18.5</v>
      </c>
      <c r="H252" s="13">
        <f t="shared" si="41"/>
        <v>17</v>
      </c>
      <c r="I252" s="13">
        <f t="shared" si="42"/>
        <v>15</v>
      </c>
      <c r="J252" s="13">
        <f t="shared" si="52"/>
        <v>25</v>
      </c>
      <c r="K252" s="13">
        <f t="shared" si="43"/>
        <v>16</v>
      </c>
      <c r="L252" s="18">
        <f>L251+(L254-L242)/12</f>
        <v>19</v>
      </c>
      <c r="M252" s="18">
        <f>M251+(M254-M242)/12</f>
        <v>16</v>
      </c>
      <c r="N252" s="18">
        <f>N251+(N254-N242)/12</f>
        <v>14.5</v>
      </c>
    </row>
    <row r="253" spans="5:14">
      <c r="F253">
        <v>263</v>
      </c>
      <c r="G253" s="13">
        <f t="shared" si="53"/>
        <v>18.5</v>
      </c>
      <c r="H253" s="13">
        <f t="shared" si="41"/>
        <v>17</v>
      </c>
      <c r="I253" s="13">
        <f t="shared" si="42"/>
        <v>15</v>
      </c>
      <c r="J253" s="13">
        <f t="shared" si="52"/>
        <v>25</v>
      </c>
      <c r="K253" s="13">
        <f t="shared" si="43"/>
        <v>16</v>
      </c>
      <c r="L253" s="18">
        <f>L252+(L254-L242)/12</f>
        <v>19</v>
      </c>
      <c r="M253" s="18">
        <f>M252+(M254-M242)/12</f>
        <v>16</v>
      </c>
      <c r="N253" s="18">
        <f>N252+(N254-N242)/12</f>
        <v>14.5</v>
      </c>
    </row>
    <row r="254" spans="5:14">
      <c r="E254">
        <v>22</v>
      </c>
      <c r="F254">
        <v>264</v>
      </c>
      <c r="G254" s="19">
        <f>'Courbe IMC'!X$51</f>
        <v>18.5</v>
      </c>
      <c r="H254" s="13">
        <f t="shared" si="41"/>
        <v>17</v>
      </c>
      <c r="I254" s="13">
        <f t="shared" si="42"/>
        <v>15</v>
      </c>
      <c r="J254">
        <f>'Courbe IMC'!X$48</f>
        <v>25</v>
      </c>
      <c r="K254" s="13">
        <f t="shared" si="43"/>
        <v>16</v>
      </c>
      <c r="L254" s="18">
        <f>G254+0.5</f>
        <v>19</v>
      </c>
      <c r="M254" s="18">
        <f>L254*16/19</f>
        <v>16</v>
      </c>
      <c r="N254" s="18">
        <f>L254*14.5/19</f>
        <v>14.5</v>
      </c>
    </row>
    <row r="255" spans="5:14">
      <c r="F255">
        <v>265</v>
      </c>
      <c r="G255" s="19">
        <f t="shared" ref="G255:G260" si="54">G254</f>
        <v>18.5</v>
      </c>
      <c r="H255" s="13">
        <f t="shared" si="41"/>
        <v>17</v>
      </c>
      <c r="I255" s="13">
        <f t="shared" si="42"/>
        <v>15</v>
      </c>
      <c r="J255">
        <f>'Courbe IMC'!X$6</f>
        <v>21.4</v>
      </c>
      <c r="K255" s="13">
        <f t="shared" si="43"/>
        <v>16</v>
      </c>
      <c r="L255" s="18">
        <f t="shared" ref="L255:L260" si="55">1/120+L254</f>
        <v>19.008333333333333</v>
      </c>
      <c r="M255" s="18">
        <f>M254/(L254*120)+M254</f>
        <v>16.00701754385965</v>
      </c>
      <c r="N255" s="18">
        <f>N254/(L254*120)+N254</f>
        <v>14.506359649122807</v>
      </c>
    </row>
    <row r="256" spans="5:14">
      <c r="F256">
        <v>266</v>
      </c>
      <c r="G256" s="19">
        <f t="shared" si="54"/>
        <v>18.5</v>
      </c>
      <c r="H256" s="13">
        <f t="shared" si="41"/>
        <v>17</v>
      </c>
      <c r="I256" s="13">
        <f t="shared" si="42"/>
        <v>15</v>
      </c>
      <c r="J256">
        <f>'Courbe IMC'!X$6</f>
        <v>21.4</v>
      </c>
      <c r="K256" s="13">
        <f t="shared" si="43"/>
        <v>16</v>
      </c>
      <c r="L256" s="18">
        <f t="shared" si="55"/>
        <v>19.016666666666666</v>
      </c>
      <c r="M256" s="18">
        <f>M254/(L254*120)+M255</f>
        <v>16.0140350877193</v>
      </c>
      <c r="N256" s="18">
        <f>N254/(L254*120)+N255</f>
        <v>14.512719298245614</v>
      </c>
    </row>
    <row r="257" spans="6:14">
      <c r="F257">
        <v>267</v>
      </c>
      <c r="G257" s="19">
        <f t="shared" si="54"/>
        <v>18.5</v>
      </c>
      <c r="H257" s="13">
        <f t="shared" si="41"/>
        <v>17</v>
      </c>
      <c r="I257" s="13">
        <f t="shared" si="42"/>
        <v>15</v>
      </c>
      <c r="J257">
        <f>'Courbe IMC'!X$6</f>
        <v>21.4</v>
      </c>
      <c r="K257" s="13">
        <f t="shared" si="43"/>
        <v>16</v>
      </c>
      <c r="L257" s="18">
        <f t="shared" si="55"/>
        <v>19.024999999999999</v>
      </c>
      <c r="M257" s="18">
        <f>M254/(L254*120)+M256</f>
        <v>16.02105263157895</v>
      </c>
      <c r="N257" s="18">
        <f>N254/(L254*120)+N256</f>
        <v>14.519078947368421</v>
      </c>
    </row>
    <row r="258" spans="6:14">
      <c r="F258">
        <v>268</v>
      </c>
      <c r="G258" s="19">
        <f t="shared" si="54"/>
        <v>18.5</v>
      </c>
      <c r="H258" s="13">
        <f t="shared" si="41"/>
        <v>17</v>
      </c>
      <c r="I258" s="13">
        <f t="shared" si="42"/>
        <v>15</v>
      </c>
      <c r="J258">
        <f>'Courbe IMC'!X$6</f>
        <v>21.4</v>
      </c>
      <c r="K258" s="13">
        <f t="shared" si="43"/>
        <v>16</v>
      </c>
      <c r="L258" s="18">
        <f t="shared" si="55"/>
        <v>19.033333333333331</v>
      </c>
      <c r="M258" s="18">
        <f>M254/(L254*120)+M257</f>
        <v>16.0280701754386</v>
      </c>
      <c r="N258" s="18">
        <f>N254/(L254*120)+N257</f>
        <v>14.525438596491227</v>
      </c>
    </row>
    <row r="259" spans="6:14">
      <c r="F259">
        <v>269</v>
      </c>
      <c r="G259" s="19">
        <f t="shared" si="54"/>
        <v>18.5</v>
      </c>
      <c r="H259" s="13">
        <f>G259*17/18.5</f>
        <v>17</v>
      </c>
      <c r="I259" s="13">
        <f>G259*15/18.5</f>
        <v>15</v>
      </c>
      <c r="J259">
        <f>'Courbe IMC'!X$6</f>
        <v>21.4</v>
      </c>
      <c r="K259" s="13">
        <f>G259*16/18.5</f>
        <v>16</v>
      </c>
      <c r="L259" s="18">
        <f t="shared" si="55"/>
        <v>19.041666666666664</v>
      </c>
      <c r="M259" s="18">
        <f>M254/(L254*120)+M258</f>
        <v>16.03508771929825</v>
      </c>
      <c r="N259" s="18">
        <f>N254/(L254*120)+N258</f>
        <v>14.531798245614034</v>
      </c>
    </row>
    <row r="260" spans="6:14">
      <c r="F260">
        <v>270</v>
      </c>
      <c r="G260" s="19">
        <f t="shared" si="54"/>
        <v>18.5</v>
      </c>
      <c r="H260" s="13">
        <f>G260*17/18.5</f>
        <v>17</v>
      </c>
      <c r="I260" s="13">
        <f>G260*15/18.5</f>
        <v>15</v>
      </c>
      <c r="J260">
        <f>'Courbe IMC'!X$6</f>
        <v>21.4</v>
      </c>
      <c r="K260" s="13">
        <f>G260*16/18.5</f>
        <v>16</v>
      </c>
      <c r="L260" s="18">
        <f t="shared" si="55"/>
        <v>19.049999999999997</v>
      </c>
      <c r="M260" s="18">
        <f>M254/(L254*120)+M259</f>
        <v>16.0421052631579</v>
      </c>
      <c r="N260" s="18">
        <f>N254/(L254*120)+N259</f>
        <v>14.538157894736841</v>
      </c>
    </row>
  </sheetData>
  <phoneticPr fontId="7" type="noConversion"/>
  <pageMargins left="0.78740157499999996" right="0.78740157499999996" top="0.984251969" bottom="0.984251969" header="0.4921259845" footer="0.4921259845"/>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8"/>
  <dimension ref="A1:C43"/>
  <sheetViews>
    <sheetView showGridLines="0" showRowColHeaders="0" zoomScale="112" zoomScaleNormal="112" zoomScalePageLayoutView="120" workbookViewId="0">
      <selection activeCell="B4" sqref="B4"/>
    </sheetView>
  </sheetViews>
  <sheetFormatPr baseColWidth="10" defaultColWidth="10.7109375" defaultRowHeight="12.75"/>
  <cols>
    <col min="1" max="1" width="11.140625" style="216" customWidth="1"/>
    <col min="2" max="3" width="11.85546875" style="214" customWidth="1"/>
    <col min="4" max="16384" width="10.7109375" style="215"/>
  </cols>
  <sheetData>
    <row r="1" spans="1:3" ht="21.75" customHeight="1">
      <c r="A1" s="213" t="str">
        <f>IF(ISBLANK(Accueil!B9),"",Accueil!B9)</f>
        <v/>
      </c>
    </row>
    <row r="2" spans="1:3" ht="39" customHeight="1"/>
    <row r="3" spans="1:3" ht="15">
      <c r="B3" s="217" t="s">
        <v>54</v>
      </c>
      <c r="C3" s="218" t="s">
        <v>266</v>
      </c>
    </row>
    <row r="4" spans="1:3" ht="15" customHeight="1">
      <c r="A4" s="219" t="s">
        <v>267</v>
      </c>
      <c r="B4" s="220"/>
      <c r="C4" s="222"/>
    </row>
    <row r="5" spans="1:3" ht="15" customHeight="1">
      <c r="A5" s="219" t="s">
        <v>268</v>
      </c>
      <c r="B5" s="221"/>
      <c r="C5" s="223"/>
    </row>
    <row r="6" spans="1:3" ht="15" customHeight="1">
      <c r="A6" s="219" t="s">
        <v>269</v>
      </c>
      <c r="B6" s="221"/>
      <c r="C6" s="223"/>
    </row>
    <row r="7" spans="1:3" ht="15" customHeight="1">
      <c r="A7" s="219" t="s">
        <v>270</v>
      </c>
      <c r="B7" s="221"/>
      <c r="C7" s="223"/>
    </row>
    <row r="8" spans="1:3" ht="15" customHeight="1">
      <c r="A8" s="219" t="s">
        <v>271</v>
      </c>
      <c r="B8" s="221"/>
      <c r="C8" s="223"/>
    </row>
    <row r="9" spans="1:3" ht="15" customHeight="1">
      <c r="A9" s="219" t="s">
        <v>272</v>
      </c>
      <c r="B9" s="221"/>
      <c r="C9" s="222"/>
    </row>
    <row r="10" spans="1:3" ht="15" customHeight="1">
      <c r="A10" s="219" t="s">
        <v>273</v>
      </c>
      <c r="B10" s="221"/>
      <c r="C10" s="223"/>
    </row>
    <row r="11" spans="1:3" ht="15" customHeight="1">
      <c r="A11" s="219" t="s">
        <v>274</v>
      </c>
      <c r="B11" s="221"/>
      <c r="C11" s="223"/>
    </row>
    <row r="12" spans="1:3" ht="15" customHeight="1">
      <c r="A12" s="219" t="s">
        <v>275</v>
      </c>
      <c r="B12" s="221"/>
      <c r="C12" s="223"/>
    </row>
    <row r="13" spans="1:3" ht="15" customHeight="1">
      <c r="A13" s="219" t="s">
        <v>276</v>
      </c>
      <c r="B13" s="221"/>
      <c r="C13" s="223"/>
    </row>
    <row r="14" spans="1:3" ht="15" customHeight="1">
      <c r="A14" s="219" t="s">
        <v>277</v>
      </c>
      <c r="B14" s="221"/>
      <c r="C14" s="223"/>
    </row>
    <row r="15" spans="1:3" ht="15" customHeight="1">
      <c r="A15" s="219" t="s">
        <v>278</v>
      </c>
      <c r="B15" s="221"/>
      <c r="C15" s="223"/>
    </row>
    <row r="16" spans="1:3" ht="15" customHeight="1">
      <c r="A16" s="219" t="s">
        <v>279</v>
      </c>
      <c r="B16" s="221"/>
      <c r="C16" s="223"/>
    </row>
    <row r="17" spans="1:3" ht="15" customHeight="1">
      <c r="A17" s="219" t="s">
        <v>280</v>
      </c>
      <c r="B17" s="221"/>
      <c r="C17" s="223"/>
    </row>
    <row r="18" spans="1:3" ht="15" customHeight="1">
      <c r="A18" s="219" t="s">
        <v>281</v>
      </c>
      <c r="B18" s="221"/>
      <c r="C18" s="223"/>
    </row>
    <row r="19" spans="1:3" ht="15" customHeight="1">
      <c r="A19" s="219" t="s">
        <v>282</v>
      </c>
      <c r="B19" s="221"/>
      <c r="C19" s="223"/>
    </row>
    <row r="20" spans="1:3" ht="15" customHeight="1">
      <c r="A20" s="219" t="s">
        <v>283</v>
      </c>
      <c r="B20" s="221"/>
      <c r="C20" s="223"/>
    </row>
    <row r="21" spans="1:3" ht="15" customHeight="1">
      <c r="A21" s="219" t="s">
        <v>284</v>
      </c>
      <c r="B21" s="221"/>
      <c r="C21" s="223"/>
    </row>
    <row r="22" spans="1:3" ht="15" customHeight="1">
      <c r="A22" s="219" t="s">
        <v>285</v>
      </c>
      <c r="B22" s="221"/>
      <c r="C22" s="223"/>
    </row>
    <row r="23" spans="1:3" ht="15" customHeight="1">
      <c r="A23" s="219" t="s">
        <v>286</v>
      </c>
      <c r="B23" s="221"/>
      <c r="C23" s="223"/>
    </row>
    <row r="24" spans="1:3" ht="15" customHeight="1">
      <c r="A24" s="219" t="s">
        <v>287</v>
      </c>
      <c r="B24" s="221"/>
      <c r="C24" s="223"/>
    </row>
    <row r="25" spans="1:3" ht="15" customHeight="1">
      <c r="A25" s="219" t="s">
        <v>288</v>
      </c>
      <c r="B25" s="221"/>
      <c r="C25" s="223"/>
    </row>
    <row r="26" spans="1:3" ht="15" customHeight="1">
      <c r="A26" s="219" t="s">
        <v>289</v>
      </c>
      <c r="B26" s="221"/>
      <c r="C26" s="223"/>
    </row>
    <row r="27" spans="1:3" ht="15" customHeight="1">
      <c r="A27" s="219" t="s">
        <v>290</v>
      </c>
      <c r="B27" s="221"/>
      <c r="C27" s="223"/>
    </row>
    <row r="28" spans="1:3" ht="15" customHeight="1">
      <c r="A28" s="219" t="s">
        <v>291</v>
      </c>
      <c r="B28" s="221"/>
      <c r="C28" s="223"/>
    </row>
    <row r="29" spans="1:3" ht="15" customHeight="1">
      <c r="A29" s="219" t="s">
        <v>292</v>
      </c>
      <c r="B29" s="221"/>
      <c r="C29" s="223"/>
    </row>
    <row r="30" spans="1:3" ht="15" customHeight="1">
      <c r="A30" s="219" t="s">
        <v>40</v>
      </c>
      <c r="B30" s="221"/>
      <c r="C30" s="223"/>
    </row>
    <row r="31" spans="1:3" ht="15" customHeight="1">
      <c r="A31" s="219" t="s">
        <v>41</v>
      </c>
      <c r="B31" s="221"/>
      <c r="C31" s="223"/>
    </row>
    <row r="32" spans="1:3" ht="15" customHeight="1">
      <c r="A32" s="219" t="s">
        <v>42</v>
      </c>
      <c r="B32" s="221"/>
      <c r="C32" s="223"/>
    </row>
    <row r="33" spans="1:3" ht="15" customHeight="1">
      <c r="A33" s="219" t="s">
        <v>43</v>
      </c>
      <c r="B33" s="221"/>
      <c r="C33" s="223"/>
    </row>
    <row r="34" spans="1:3" ht="15" customHeight="1">
      <c r="A34" s="219" t="s">
        <v>44</v>
      </c>
      <c r="B34" s="221"/>
      <c r="C34" s="223"/>
    </row>
    <row r="35" spans="1:3" ht="15" customHeight="1">
      <c r="A35" s="219" t="s">
        <v>45</v>
      </c>
      <c r="B35" s="221"/>
      <c r="C35" s="223"/>
    </row>
    <row r="36" spans="1:3" ht="15" customHeight="1">
      <c r="A36" s="219" t="s">
        <v>46</v>
      </c>
      <c r="B36" s="221"/>
      <c r="C36" s="223"/>
    </row>
    <row r="37" spans="1:3" ht="15" customHeight="1">
      <c r="A37" s="219" t="s">
        <v>47</v>
      </c>
      <c r="B37" s="221"/>
      <c r="C37" s="223"/>
    </row>
    <row r="38" spans="1:3" ht="15" customHeight="1">
      <c r="A38" s="219" t="s">
        <v>48</v>
      </c>
      <c r="B38" s="221"/>
      <c r="C38" s="223"/>
    </row>
    <row r="39" spans="1:3" ht="15" customHeight="1">
      <c r="A39" s="219" t="s">
        <v>49</v>
      </c>
      <c r="B39" s="221"/>
      <c r="C39" s="223"/>
    </row>
    <row r="40" spans="1:3" ht="15" customHeight="1">
      <c r="A40" s="219" t="s">
        <v>50</v>
      </c>
      <c r="B40" s="221"/>
      <c r="C40" s="223"/>
    </row>
    <row r="41" spans="1:3" ht="15" customHeight="1">
      <c r="A41" s="219" t="s">
        <v>51</v>
      </c>
      <c r="B41" s="221"/>
      <c r="C41" s="223"/>
    </row>
    <row r="42" spans="1:3" ht="15" customHeight="1">
      <c r="A42" s="219" t="s">
        <v>52</v>
      </c>
      <c r="B42" s="221"/>
      <c r="C42" s="223"/>
    </row>
    <row r="43" spans="1:3" ht="15" customHeight="1">
      <c r="A43" s="219" t="s">
        <v>53</v>
      </c>
      <c r="B43" s="221"/>
      <c r="C43" s="223"/>
    </row>
  </sheetData>
  <sheetProtection sheet="1" objects="1" scenarios="1" selectLockedCells="1"/>
  <phoneticPr fontId="28"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82273" r:id="rId3" name="Button 1">
              <controlPr defaultSize="0" print="0" autoFill="0" autoPict="0" macro="[0]!Accueil">
                <anchor moveWithCells="1" sizeWithCells="1">
                  <from>
                    <xdr:col>10</xdr:col>
                    <xdr:colOff>200025</xdr:colOff>
                    <xdr:row>0</xdr:row>
                    <xdr:rowOff>104775</xdr:rowOff>
                  </from>
                  <to>
                    <xdr:col>12</xdr:col>
                    <xdr:colOff>447675</xdr:colOff>
                    <xdr:row>1</xdr:row>
                    <xdr:rowOff>152400</xdr:rowOff>
                  </to>
                </anchor>
              </controlPr>
            </control>
          </mc:Choice>
        </mc:AlternateContent>
        <mc:AlternateContent xmlns:mc="http://schemas.openxmlformats.org/markup-compatibility/2006">
          <mc:Choice Requires="x14">
            <control shapeId="182274" r:id="rId4" name="Button 2">
              <controlPr defaultSize="0" print="0" autoFill="0" autoPict="0" macro="[0]!SuiviIntra">
                <anchor moveWithCells="1" sizeWithCells="1">
                  <from>
                    <xdr:col>10</xdr:col>
                    <xdr:colOff>200025</xdr:colOff>
                    <xdr:row>1</xdr:row>
                    <xdr:rowOff>295275</xdr:rowOff>
                  </from>
                  <to>
                    <xdr:col>12</xdr:col>
                    <xdr:colOff>447675</xdr:colOff>
                    <xdr:row>2</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9"/>
  <dimension ref="A1:Z40"/>
  <sheetViews>
    <sheetView showGridLines="0" showRowColHeaders="0" zoomScale="171" zoomScaleNormal="171" zoomScalePageLayoutView="200" workbookViewId="0">
      <selection sqref="A1:XFD40"/>
    </sheetView>
  </sheetViews>
  <sheetFormatPr baseColWidth="10" defaultColWidth="11.28515625" defaultRowHeight="12.75"/>
  <cols>
    <col min="1" max="1" width="4.140625" style="31" customWidth="1"/>
    <col min="2" max="8" width="13.140625" style="31" customWidth="1"/>
    <col min="9" max="9" width="11" style="31" customWidth="1"/>
    <col min="10" max="10" width="16.28515625" style="32" customWidth="1"/>
    <col min="11" max="11" width="1.85546875" style="31" customWidth="1"/>
    <col min="12" max="13" width="10.140625" style="31" customWidth="1"/>
    <col min="14" max="17" width="11.28515625" style="31"/>
    <col min="18" max="20" width="11.28515625" style="32"/>
    <col min="21" max="16384" width="11.28515625" style="31"/>
  </cols>
  <sheetData>
    <row r="1" spans="1:26" ht="12.75" customHeight="1">
      <c r="A1" s="53"/>
      <c r="B1" s="53"/>
      <c r="C1" s="53"/>
      <c r="D1" s="53"/>
      <c r="E1" s="53"/>
      <c r="F1" s="53"/>
      <c r="G1" s="53"/>
      <c r="H1" s="53"/>
      <c r="I1" s="53"/>
      <c r="J1" s="27"/>
    </row>
    <row r="2" spans="1:26" ht="12.75" customHeight="1">
      <c r="A2" s="53"/>
      <c r="B2" s="53"/>
      <c r="C2" s="53"/>
      <c r="D2" s="53"/>
      <c r="E2" s="53"/>
      <c r="F2" s="53"/>
      <c r="G2" s="53"/>
      <c r="H2" s="53"/>
      <c r="I2" s="53"/>
      <c r="J2" s="27"/>
    </row>
    <row r="3" spans="1:26" ht="12.75" customHeight="1">
      <c r="A3" s="53"/>
      <c r="B3" s="54"/>
      <c r="C3" s="53"/>
      <c r="D3" s="54"/>
      <c r="E3" s="53"/>
      <c r="F3" s="54"/>
      <c r="G3" s="53"/>
      <c r="H3" s="54"/>
      <c r="I3" s="53"/>
      <c r="J3" s="27"/>
      <c r="R3" s="33"/>
      <c r="S3" s="33"/>
      <c r="T3" s="33"/>
      <c r="U3" s="61"/>
      <c r="V3" s="61" t="s">
        <v>26</v>
      </c>
      <c r="W3" s="62"/>
      <c r="X3" s="62"/>
      <c r="Y3" s="62"/>
      <c r="Z3" s="62"/>
    </row>
    <row r="4" spans="1:26" ht="12.75" customHeight="1">
      <c r="A4" s="53"/>
      <c r="B4" s="27" t="str">
        <f>IF(ISBLANK(socio!C28),"",socio!C28)</f>
        <v/>
      </c>
      <c r="C4" s="53"/>
      <c r="D4" s="27" t="str">
        <f>IF(ISBLANK(socio!G28),"",socio!G28)</f>
        <v/>
      </c>
      <c r="E4" s="53"/>
      <c r="F4" s="27" t="str">
        <f>IF(ISBLANK(socio!C34),"",socio!C34)</f>
        <v/>
      </c>
      <c r="G4" s="53"/>
      <c r="H4" s="27" t="str">
        <f>IF(ISBLANK(socio!G34),"",socio!G34)</f>
        <v/>
      </c>
      <c r="I4" s="53"/>
      <c r="J4" s="57" t="s">
        <v>32</v>
      </c>
      <c r="L4" s="374"/>
      <c r="M4" s="374"/>
      <c r="P4" s="34"/>
      <c r="T4" s="63"/>
      <c r="U4" s="61" t="s">
        <v>1</v>
      </c>
      <c r="V4" s="62">
        <v>1</v>
      </c>
      <c r="W4" s="64"/>
      <c r="X4" s="62"/>
      <c r="Y4" s="62"/>
      <c r="Z4" s="62"/>
    </row>
    <row r="5" spans="1:26" ht="12.75" customHeight="1">
      <c r="A5" s="53"/>
      <c r="B5" s="27" t="str">
        <f>IF(ISBLANK(socio!D28),"",socio!D28)</f>
        <v/>
      </c>
      <c r="C5" s="53"/>
      <c r="D5" s="27" t="str">
        <f>IF(ISBLANK(socio!H28),"",socio!H28)</f>
        <v/>
      </c>
      <c r="E5" s="53"/>
      <c r="F5" s="27" t="str">
        <f>IF(ISBLANK(socio!D34),"",socio!D34)</f>
        <v/>
      </c>
      <c r="G5" s="53"/>
      <c r="H5" s="27" t="str">
        <f>IF(ISBLANK(socio!H34),"",socio!H34)</f>
        <v/>
      </c>
      <c r="I5" s="53"/>
      <c r="J5" s="57"/>
      <c r="L5" s="374"/>
      <c r="M5" s="374"/>
      <c r="T5" s="63"/>
      <c r="U5" s="62"/>
      <c r="V5" s="62"/>
      <c r="W5" s="62"/>
      <c r="X5" s="62"/>
      <c r="Y5" s="62"/>
      <c r="Z5" s="62"/>
    </row>
    <row r="6" spans="1:26" ht="12.75" customHeight="1">
      <c r="A6" s="53"/>
      <c r="B6" s="54" t="str">
        <f>IF(ISBLANK(V4),"",VLOOKUP(V4,listes!$L$18:$M23,2))</f>
        <v>-</v>
      </c>
      <c r="C6" s="53"/>
      <c r="D6" s="54" t="str">
        <f>IF(ISBLANK(V6),"",VLOOKUP(V6,listes!$L$18:$M23,2))</f>
        <v>-</v>
      </c>
      <c r="E6" s="53"/>
      <c r="F6" s="54" t="str">
        <f>IF(ISBLANK(V8),"",VLOOKUP(V8,listes!$L$18:$M23,2))</f>
        <v>-</v>
      </c>
      <c r="G6" s="53"/>
      <c r="H6" s="54" t="str">
        <f>IF(ISBLANK(V10),"",VLOOKUP(V10,listes!$L$18:$M23,2))</f>
        <v>-</v>
      </c>
      <c r="I6" s="53"/>
      <c r="J6" s="57"/>
      <c r="L6" s="375"/>
      <c r="M6" s="376"/>
      <c r="P6" s="34"/>
      <c r="T6" s="63"/>
      <c r="U6" s="61" t="s">
        <v>0</v>
      </c>
      <c r="V6" s="62">
        <v>1</v>
      </c>
      <c r="W6" s="62"/>
      <c r="X6" s="62"/>
      <c r="Y6" s="62"/>
      <c r="Z6" s="62"/>
    </row>
    <row r="7" spans="1:26" ht="12.75" customHeight="1">
      <c r="A7" s="53"/>
      <c r="B7" s="53"/>
      <c r="C7" s="53"/>
      <c r="D7" s="53"/>
      <c r="E7" s="53"/>
      <c r="F7" s="53"/>
      <c r="G7" s="53"/>
      <c r="H7" s="53"/>
      <c r="I7" s="53"/>
      <c r="J7" s="57"/>
      <c r="L7" s="376"/>
      <c r="M7" s="376"/>
      <c r="T7" s="63"/>
      <c r="U7" s="62"/>
      <c r="V7" s="62"/>
      <c r="W7" s="62"/>
      <c r="X7" s="62"/>
      <c r="Y7" s="62"/>
      <c r="Z7" s="62"/>
    </row>
    <row r="8" spans="1:26" ht="12.75" customHeight="1">
      <c r="A8" s="53"/>
      <c r="B8" s="55"/>
      <c r="C8" s="53"/>
      <c r="D8" s="56"/>
      <c r="E8" s="53"/>
      <c r="F8" s="53"/>
      <c r="G8" s="55"/>
      <c r="H8" s="53"/>
      <c r="I8" s="53"/>
      <c r="J8" s="57"/>
      <c r="K8" s="35"/>
      <c r="L8" s="374"/>
      <c r="M8" s="374"/>
      <c r="P8" s="34"/>
      <c r="T8" s="63"/>
      <c r="U8" s="61" t="s">
        <v>2</v>
      </c>
      <c r="V8" s="62">
        <v>1</v>
      </c>
      <c r="W8" s="62"/>
      <c r="X8" s="62"/>
      <c r="Y8" s="62"/>
      <c r="Z8" s="62"/>
    </row>
    <row r="9" spans="1:26" ht="12.75" customHeight="1">
      <c r="A9" s="53"/>
      <c r="B9" s="53"/>
      <c r="C9" s="53"/>
      <c r="D9" s="53"/>
      <c r="E9" s="53"/>
      <c r="F9" s="53"/>
      <c r="G9" s="53"/>
      <c r="H9" s="53"/>
      <c r="I9" s="53"/>
      <c r="J9" s="57"/>
      <c r="K9" s="31" t="str">
        <f>IF(ISBLANK(R4),"",R4)</f>
        <v/>
      </c>
      <c r="L9" s="374"/>
      <c r="M9" s="374"/>
      <c r="T9" s="63"/>
      <c r="U9" s="62"/>
      <c r="V9" s="62"/>
      <c r="W9" s="62"/>
      <c r="X9" s="62"/>
      <c r="Y9" s="62"/>
      <c r="Z9" s="62"/>
    </row>
    <row r="10" spans="1:26" ht="12.75" customHeight="1">
      <c r="A10" s="50"/>
      <c r="B10" s="50"/>
      <c r="C10" s="50"/>
      <c r="D10" s="50"/>
      <c r="E10" s="50"/>
      <c r="F10" s="50"/>
      <c r="G10" s="50"/>
      <c r="H10" s="50"/>
      <c r="I10" s="50"/>
      <c r="J10" s="58"/>
      <c r="K10" s="31" t="str">
        <f>IF(ISBLANK(S4),"",W4&amp;" "&amp;S4)</f>
        <v/>
      </c>
      <c r="L10" s="374"/>
      <c r="M10" s="374"/>
      <c r="T10" s="63"/>
      <c r="U10" s="61" t="s">
        <v>3</v>
      </c>
      <c r="V10" s="62">
        <v>1</v>
      </c>
      <c r="W10" s="62"/>
      <c r="X10" s="62"/>
      <c r="Y10" s="62"/>
      <c r="Z10" s="62"/>
    </row>
    <row r="11" spans="1:26" ht="12.75" customHeight="1">
      <c r="A11" s="50"/>
      <c r="B11" s="50"/>
      <c r="C11" s="50"/>
      <c r="D11" s="50"/>
      <c r="E11" s="50"/>
      <c r="F11" s="50"/>
      <c r="G11" s="50"/>
      <c r="H11" s="50"/>
      <c r="I11" s="50"/>
      <c r="J11" s="58"/>
      <c r="L11" s="374"/>
      <c r="M11" s="374"/>
      <c r="T11" s="63"/>
      <c r="U11" s="62"/>
      <c r="V11" s="62"/>
      <c r="W11" s="62"/>
      <c r="X11" s="62"/>
      <c r="Y11" s="62"/>
      <c r="Z11" s="62"/>
    </row>
    <row r="12" spans="1:26" ht="12.75" customHeight="1">
      <c r="A12" s="50"/>
      <c r="B12" s="50"/>
      <c r="C12" s="51"/>
      <c r="D12" s="50"/>
      <c r="E12" s="50"/>
      <c r="F12" s="50"/>
      <c r="G12" s="51"/>
      <c r="H12" s="50"/>
      <c r="I12" s="50"/>
      <c r="J12" s="58"/>
      <c r="L12" s="374"/>
      <c r="M12" s="374"/>
      <c r="T12" s="63"/>
      <c r="U12" s="61" t="s">
        <v>6</v>
      </c>
      <c r="V12" s="62">
        <v>1</v>
      </c>
      <c r="W12" s="62"/>
      <c r="X12" s="62"/>
      <c r="Y12" s="62"/>
      <c r="Z12" s="62"/>
    </row>
    <row r="13" spans="1:26" ht="12.75" customHeight="1">
      <c r="A13" s="50"/>
      <c r="B13" s="50"/>
      <c r="C13" s="52" t="str">
        <f>IF(ISBLANK(socio!C40),"",socio!C40)</f>
        <v/>
      </c>
      <c r="D13" s="50"/>
      <c r="E13" s="50"/>
      <c r="F13" s="50"/>
      <c r="G13" s="52" t="str">
        <f>IF(ISBLANK(socio!G40),"",socio!G40)</f>
        <v/>
      </c>
      <c r="H13" s="50"/>
      <c r="I13" s="50"/>
      <c r="J13" s="58" t="s">
        <v>454</v>
      </c>
      <c r="L13" s="374"/>
      <c r="M13" s="374"/>
      <c r="T13" s="63"/>
      <c r="U13" s="62"/>
      <c r="V13" s="62"/>
      <c r="W13" s="62"/>
      <c r="X13" s="62"/>
      <c r="Y13" s="62"/>
      <c r="Z13" s="62"/>
    </row>
    <row r="14" spans="1:26" ht="12.75" customHeight="1">
      <c r="A14" s="50"/>
      <c r="B14" s="50"/>
      <c r="C14" s="52" t="str">
        <f>IF(ISBLANK(socio!D40),"",socio!D40)</f>
        <v/>
      </c>
      <c r="D14" s="50"/>
      <c r="E14" s="50"/>
      <c r="F14" s="50"/>
      <c r="G14" s="52" t="str">
        <f>IF(ISBLANK(socio!H40),"",socio!H40)</f>
        <v/>
      </c>
      <c r="H14" s="50"/>
      <c r="I14" s="50"/>
      <c r="J14" s="58"/>
      <c r="L14" s="374"/>
      <c r="M14" s="374"/>
      <c r="T14" s="63"/>
      <c r="U14" s="61" t="s">
        <v>414</v>
      </c>
      <c r="V14" s="62">
        <v>1</v>
      </c>
      <c r="W14" s="62"/>
      <c r="X14" s="62"/>
      <c r="Y14" s="62"/>
      <c r="Z14" s="62"/>
    </row>
    <row r="15" spans="1:26" ht="12.75" customHeight="1">
      <c r="A15" s="50"/>
      <c r="B15" s="50"/>
      <c r="C15" s="51" t="str">
        <f>IF(ISBLANK(V14),"",VLOOKUP(V14,listes!$L$18:$M32,2))</f>
        <v>-</v>
      </c>
      <c r="D15" s="50"/>
      <c r="E15" s="50"/>
      <c r="F15" s="50"/>
      <c r="G15" s="51" t="str">
        <f>IF(ISBLANK(V12),"",VLOOKUP(V12,listes!$L$18:$M32,2))</f>
        <v>-</v>
      </c>
      <c r="H15" s="50"/>
      <c r="I15" s="50"/>
      <c r="J15" s="58"/>
      <c r="L15" s="374"/>
      <c r="M15" s="374"/>
      <c r="T15" s="63"/>
      <c r="U15" s="62"/>
      <c r="V15" s="62"/>
      <c r="W15" s="62"/>
      <c r="X15" s="62"/>
      <c r="Y15" s="62"/>
      <c r="Z15" s="62"/>
    </row>
    <row r="16" spans="1:26" ht="12.75" customHeight="1">
      <c r="A16" s="50"/>
      <c r="B16" s="50"/>
      <c r="C16" s="50"/>
      <c r="D16" s="50"/>
      <c r="E16" s="50"/>
      <c r="F16" s="50"/>
      <c r="G16" s="50"/>
      <c r="H16" s="50"/>
      <c r="I16" s="50"/>
      <c r="J16" s="58"/>
      <c r="L16" s="374"/>
      <c r="M16" s="374"/>
      <c r="Q16" s="32"/>
      <c r="T16" s="63">
        <f>socio!$E$8</f>
        <v>0</v>
      </c>
      <c r="U16" s="65" t="s">
        <v>7</v>
      </c>
      <c r="V16" s="65" t="s">
        <v>8</v>
      </c>
      <c r="W16" s="65" t="s">
        <v>9</v>
      </c>
      <c r="X16" s="65" t="s">
        <v>10</v>
      </c>
      <c r="Y16" s="65" t="s">
        <v>11</v>
      </c>
      <c r="Z16" s="65" t="s">
        <v>27</v>
      </c>
    </row>
    <row r="17" spans="1:26" ht="12.75" customHeight="1">
      <c r="A17" s="50"/>
      <c r="B17" s="50"/>
      <c r="C17" s="50"/>
      <c r="D17" s="50"/>
      <c r="E17" s="50"/>
      <c r="F17" s="50"/>
      <c r="G17" s="50"/>
      <c r="H17" s="50"/>
      <c r="I17" s="50"/>
      <c r="J17" s="58"/>
      <c r="L17" s="374"/>
      <c r="M17" s="374"/>
      <c r="T17" s="63"/>
      <c r="U17" s="66" t="str">
        <f>IF(ISBLANK(socio!$C$46),"",socio!$C$46)</f>
        <v/>
      </c>
      <c r="V17" s="66" t="str">
        <f>IF(ISBLANK(socio!$C$49),"",socio!$C$49)</f>
        <v/>
      </c>
      <c r="W17" s="66" t="str">
        <f>IF(ISBLANK(socio!$C$52),"",socio!$C$52)</f>
        <v/>
      </c>
      <c r="X17" s="66" t="str">
        <f>IF(ISBLANK(socio!$C$55),"",socio!$C$55)</f>
        <v/>
      </c>
      <c r="Y17" s="66" t="str">
        <f>IF(ISBLANK(socio!$C$58),"",socio!$C$58)</f>
        <v/>
      </c>
      <c r="Z17" s="66" t="str">
        <f>IF(ISBLANK(socio!$C$61),"",socio!$C$61)</f>
        <v/>
      </c>
    </row>
    <row r="18" spans="1:26" ht="12.75" customHeight="1">
      <c r="A18" s="50"/>
      <c r="B18" s="50"/>
      <c r="C18" s="50"/>
      <c r="D18" s="50"/>
      <c r="E18" s="50"/>
      <c r="F18" s="50"/>
      <c r="G18" s="50"/>
      <c r="H18" s="50"/>
      <c r="I18" s="50"/>
      <c r="J18" s="58"/>
      <c r="L18" s="374"/>
      <c r="M18" s="374"/>
      <c r="T18" s="63"/>
      <c r="U18" s="66" t="str">
        <f>IF(ISBLANK(socio!$D$46),"",socio!$D$46)</f>
        <v/>
      </c>
      <c r="V18" s="66" t="str">
        <f>IF(ISBLANK(socio!$D$49),"",socio!$D$49)</f>
        <v/>
      </c>
      <c r="W18" s="66" t="str">
        <f>IF(ISBLANK(socio!$D$52),"",socio!$D$52)</f>
        <v/>
      </c>
      <c r="X18" s="66" t="str">
        <f>IF(ISBLANK(socio!$D$55),"",socio!$D$55)</f>
        <v/>
      </c>
      <c r="Y18" s="66" t="str">
        <f>IF(ISBLANK(socio!$D$58),"",socio!$D$58)</f>
        <v/>
      </c>
      <c r="Z18" s="66" t="str">
        <f>IF(ISBLANK(socio!$D$61),"",socio!$D$61)</f>
        <v/>
      </c>
    </row>
    <row r="19" spans="1:26" ht="12.75" customHeight="1">
      <c r="A19" s="377"/>
      <c r="B19" s="377"/>
      <c r="C19" s="377"/>
      <c r="D19" s="377"/>
      <c r="E19" s="377"/>
      <c r="F19" s="377"/>
      <c r="G19" s="377"/>
      <c r="H19" s="377"/>
      <c r="I19" s="377"/>
      <c r="J19" s="378"/>
      <c r="T19" s="63"/>
      <c r="U19" s="60" t="str">
        <f>IF(ISBLANK(U25),"",VLOOKUP(U25,listes!$L$18:$M23,2))</f>
        <v>-</v>
      </c>
      <c r="V19" s="60" t="str">
        <f>IF(ISBLANK(V25),"",VLOOKUP(V25,listes!$L$18:$M23,2))</f>
        <v>-</v>
      </c>
      <c r="W19" s="60" t="str">
        <f>IF(ISBLANK(W25),"",VLOOKUP(W25,listes!$L$18:$M23,2))</f>
        <v>-</v>
      </c>
      <c r="X19" s="60" t="str">
        <f>IF(ISBLANK(X25),"",VLOOKUP(X25,listes!$L$18:$M23,2))</f>
        <v>-</v>
      </c>
      <c r="Y19" s="60" t="str">
        <f>IF(ISBLANK(Y25),"",VLOOKUP(Y25,listes!$L$18:$M23,2))</f>
        <v>-</v>
      </c>
      <c r="Z19" s="60" t="str">
        <f>IF(ISBLANK(Z25),"",VLOOKUP(Z25,listes!$L$18:$M23,2))</f>
        <v>-</v>
      </c>
    </row>
    <row r="20" spans="1:26" ht="12.75" customHeight="1">
      <c r="A20" s="377"/>
      <c r="B20" s="377"/>
      <c r="C20" s="377"/>
      <c r="D20" s="377"/>
      <c r="E20" s="377"/>
      <c r="F20" s="377"/>
      <c r="G20" s="377"/>
      <c r="H20" s="377"/>
      <c r="I20" s="377"/>
      <c r="J20" s="378"/>
      <c r="T20" s="63">
        <f>socio!F8</f>
        <v>0</v>
      </c>
      <c r="U20" s="65" t="s">
        <v>12</v>
      </c>
      <c r="V20" s="65" t="s">
        <v>13</v>
      </c>
      <c r="W20" s="65" t="s">
        <v>14</v>
      </c>
      <c r="X20" s="65" t="s">
        <v>15</v>
      </c>
      <c r="Y20" s="65" t="s">
        <v>16</v>
      </c>
      <c r="Z20" s="65" t="s">
        <v>28</v>
      </c>
    </row>
    <row r="21" spans="1:26" ht="12.75" customHeight="1">
      <c r="A21" s="377"/>
      <c r="B21" s="379"/>
      <c r="C21" s="379"/>
      <c r="D21" s="379"/>
      <c r="E21" s="379"/>
      <c r="F21" s="379"/>
      <c r="G21" s="379"/>
      <c r="H21" s="379"/>
      <c r="I21" s="379"/>
      <c r="J21" s="378"/>
      <c r="T21" s="63"/>
      <c r="U21" s="66" t="str">
        <f>IF(ISBLANK(socio!$G$46),"",socio!$G$46)</f>
        <v/>
      </c>
      <c r="V21" s="66" t="str">
        <f>IF(ISBLANK(socio!$G$49),"",socio!$G$49)</f>
        <v/>
      </c>
      <c r="W21" s="66" t="str">
        <f>IF(ISBLANK(socio!$G$52),"",socio!$G$52)</f>
        <v/>
      </c>
      <c r="X21" s="66" t="str">
        <f>IF(ISBLANK(socio!$G$55),"",socio!$G$55)</f>
        <v/>
      </c>
      <c r="Y21" s="66" t="str">
        <f>IF(ISBLANK(socio!$G$58),"",socio!$G$58)</f>
        <v/>
      </c>
      <c r="Z21" s="66" t="str">
        <f>IF(ISBLANK(socio!$G$61),"",socio!$G$61)</f>
        <v/>
      </c>
    </row>
    <row r="22" spans="1:26" ht="12.75" customHeight="1">
      <c r="A22" s="377"/>
      <c r="B22" s="380" t="str">
        <f>U17</f>
        <v/>
      </c>
      <c r="C22" s="380"/>
      <c r="D22" s="380"/>
      <c r="E22" s="380"/>
      <c r="F22" s="380"/>
      <c r="G22" s="380"/>
      <c r="H22" s="380"/>
      <c r="I22" s="380"/>
      <c r="J22" s="378" t="s">
        <v>33</v>
      </c>
      <c r="T22" s="63"/>
      <c r="U22" s="66" t="str">
        <f>IF(ISBLANK(socio!$H$46),"",socio!$H$46)</f>
        <v/>
      </c>
      <c r="V22" s="66" t="str">
        <f>IF(ISBLANK(socio!$H$49),"",socio!$H$49)</f>
        <v/>
      </c>
      <c r="W22" s="66" t="str">
        <f>IF(ISBLANK(socio!$H$52),"",socio!$H$52)</f>
        <v/>
      </c>
      <c r="X22" s="66" t="str">
        <f>IF(ISBLANK(socio!$H$55),"",socio!$H$55)</f>
        <v/>
      </c>
      <c r="Y22" s="66" t="str">
        <f>IF(ISBLANK(socio!$H$58),"",socio!$H$58)</f>
        <v/>
      </c>
      <c r="Z22" s="66" t="str">
        <f>IF(ISBLANK(socio!$H$61),"",socio!$H$61)</f>
        <v/>
      </c>
    </row>
    <row r="23" spans="1:26" ht="12.75" customHeight="1">
      <c r="A23" s="377"/>
      <c r="B23" s="380" t="str">
        <f>U18</f>
        <v/>
      </c>
      <c r="C23" s="380"/>
      <c r="D23" s="380"/>
      <c r="E23" s="380"/>
      <c r="F23" s="380"/>
      <c r="G23" s="380"/>
      <c r="H23" s="380"/>
      <c r="I23" s="380"/>
      <c r="J23" s="378"/>
      <c r="T23" s="63"/>
      <c r="U23" s="60" t="str">
        <f>IF(ISBLANK(U29),"",VLOOKUP(U29,listes!$L$18:$M23,2))</f>
        <v>-</v>
      </c>
      <c r="V23" s="60" t="str">
        <f>IF(ISBLANK(V29),"",VLOOKUP(V29,listes!$L$18:$M23,2))</f>
        <v>-</v>
      </c>
      <c r="W23" s="60" t="str">
        <f>IF(ISBLANK(W29),"",VLOOKUP(W29,listes!$L$18:$M23,2))</f>
        <v>-</v>
      </c>
      <c r="X23" s="60" t="str">
        <f>IF(ISBLANK(X29),"",VLOOKUP(X29,listes!$L$18:$M23,2))</f>
        <v>-</v>
      </c>
      <c r="Y23" s="60" t="str">
        <f>IF(ISBLANK(Y29),"",VLOOKUP(Y29,listes!$L$18:$M23,2))</f>
        <v>-</v>
      </c>
      <c r="Z23" s="60" t="str">
        <f>IF(ISBLANK(Z29),"",VLOOKUP(Z29,listes!$L$18:$M23,2))</f>
        <v>-</v>
      </c>
    </row>
    <row r="24" spans="1:26" ht="12.75" customHeight="1">
      <c r="A24" s="377"/>
      <c r="B24" s="379"/>
      <c r="C24" s="379"/>
      <c r="D24" s="379"/>
      <c r="E24" s="379"/>
      <c r="F24" s="379"/>
      <c r="G24" s="379"/>
      <c r="H24" s="379"/>
      <c r="I24" s="379"/>
      <c r="J24" s="378"/>
      <c r="T24" s="63"/>
      <c r="U24" s="65"/>
      <c r="V24" s="66"/>
      <c r="W24" s="66"/>
      <c r="X24" s="66"/>
      <c r="Y24" s="66"/>
      <c r="Z24" s="66"/>
    </row>
    <row r="25" spans="1:26" ht="12.75" customHeight="1">
      <c r="A25" s="377"/>
      <c r="B25" s="377"/>
      <c r="C25" s="377"/>
      <c r="D25" s="377"/>
      <c r="E25" s="377"/>
      <c r="F25" s="377"/>
      <c r="G25" s="377"/>
      <c r="H25" s="377"/>
      <c r="I25" s="377"/>
      <c r="J25" s="378"/>
      <c r="T25" s="63"/>
      <c r="U25" s="65">
        <v>1</v>
      </c>
      <c r="V25" s="66">
        <v>1</v>
      </c>
      <c r="W25" s="66">
        <v>1</v>
      </c>
      <c r="X25" s="66">
        <v>1</v>
      </c>
      <c r="Y25" s="66">
        <v>1</v>
      </c>
      <c r="Z25" s="66">
        <v>1</v>
      </c>
    </row>
    <row r="26" spans="1:26" ht="12.75" customHeight="1">
      <c r="A26" s="377"/>
      <c r="B26" s="381"/>
      <c r="C26" s="381"/>
      <c r="D26" s="381"/>
      <c r="E26" s="381"/>
      <c r="F26" s="381"/>
      <c r="G26" s="381"/>
      <c r="H26" s="381"/>
      <c r="I26" s="381"/>
      <c r="J26" s="378"/>
      <c r="T26" s="63"/>
      <c r="U26" s="65"/>
      <c r="V26" s="66"/>
      <c r="W26" s="66"/>
      <c r="X26" s="66"/>
      <c r="Y26" s="66"/>
      <c r="Z26" s="66"/>
    </row>
    <row r="27" spans="1:26" ht="12.75" customHeight="1">
      <c r="A27" s="382"/>
      <c r="B27" s="383"/>
      <c r="C27" s="383"/>
      <c r="D27" s="383"/>
      <c r="E27" s="383"/>
      <c r="F27" s="383"/>
      <c r="G27" s="383"/>
      <c r="H27" s="383"/>
      <c r="I27" s="383"/>
      <c r="J27" s="384"/>
      <c r="T27" s="63"/>
      <c r="U27" s="66"/>
      <c r="V27" s="66"/>
      <c r="W27" s="66"/>
      <c r="X27" s="66"/>
      <c r="Y27" s="66"/>
      <c r="Z27" s="66"/>
    </row>
    <row r="28" spans="1:26" ht="12.75" customHeight="1">
      <c r="A28" s="382"/>
      <c r="B28" s="383"/>
      <c r="C28" s="383"/>
      <c r="D28" s="383"/>
      <c r="E28" s="383"/>
      <c r="F28" s="383"/>
      <c r="G28" s="383"/>
      <c r="H28" s="383"/>
      <c r="I28" s="383"/>
      <c r="J28" s="384"/>
      <c r="T28" s="63"/>
      <c r="U28" s="65"/>
      <c r="V28" s="66"/>
      <c r="W28" s="66"/>
      <c r="X28" s="66"/>
      <c r="Y28" s="66"/>
      <c r="Z28" s="66"/>
    </row>
    <row r="29" spans="1:26" ht="12.75" customHeight="1">
      <c r="A29" s="382"/>
      <c r="B29" s="383"/>
      <c r="C29" s="383"/>
      <c r="D29" s="383"/>
      <c r="E29" s="383"/>
      <c r="F29" s="383"/>
      <c r="G29" s="383"/>
      <c r="H29" s="383"/>
      <c r="I29" s="383"/>
      <c r="J29" s="384" t="s">
        <v>34</v>
      </c>
      <c r="T29" s="63"/>
      <c r="U29" s="66">
        <v>1</v>
      </c>
      <c r="V29" s="66">
        <v>1</v>
      </c>
      <c r="W29" s="66">
        <v>1</v>
      </c>
      <c r="X29" s="66">
        <v>1</v>
      </c>
      <c r="Y29" s="66">
        <v>1</v>
      </c>
      <c r="Z29" s="66">
        <v>1</v>
      </c>
    </row>
    <row r="30" spans="1:26" ht="12.75" customHeight="1">
      <c r="A30" s="382"/>
      <c r="B30" s="383"/>
      <c r="C30" s="383"/>
      <c r="D30" s="383"/>
      <c r="E30" s="383"/>
      <c r="F30" s="383"/>
      <c r="G30" s="383"/>
      <c r="H30" s="383"/>
      <c r="I30" s="383"/>
      <c r="J30" s="385"/>
      <c r="U30" s="34"/>
    </row>
    <row r="31" spans="1:26" ht="12.75" customHeight="1">
      <c r="A31" s="382"/>
      <c r="B31" s="383"/>
      <c r="C31" s="383"/>
      <c r="D31" s="383"/>
      <c r="E31" s="383"/>
      <c r="F31" s="383"/>
      <c r="G31" s="383"/>
      <c r="H31" s="383"/>
      <c r="I31" s="383"/>
      <c r="J31" s="385"/>
    </row>
    <row r="32" spans="1:26" ht="12.75" customHeight="1">
      <c r="A32" s="382"/>
      <c r="B32" s="383"/>
      <c r="C32" s="383"/>
      <c r="D32" s="383"/>
      <c r="E32" s="383"/>
      <c r="F32" s="383"/>
      <c r="G32" s="383"/>
      <c r="H32" s="383"/>
      <c r="I32" s="383"/>
      <c r="J32" s="385"/>
      <c r="U32" s="34"/>
    </row>
    <row r="33" spans="1:21" ht="12.75" customHeight="1">
      <c r="A33" s="382"/>
      <c r="B33" s="382"/>
      <c r="C33" s="382"/>
      <c r="D33" s="382"/>
      <c r="E33" s="382"/>
      <c r="F33" s="382"/>
      <c r="G33" s="382"/>
      <c r="H33" s="382"/>
      <c r="I33" s="382"/>
      <c r="J33" s="385"/>
      <c r="U33" s="34"/>
    </row>
    <row r="34" spans="1:21" ht="12.75" customHeight="1">
      <c r="A34" s="382"/>
      <c r="B34" s="382"/>
      <c r="C34" s="382"/>
      <c r="D34" s="382"/>
      <c r="E34" s="382"/>
      <c r="F34" s="382"/>
      <c r="G34" s="382"/>
      <c r="H34" s="382"/>
      <c r="I34" s="382"/>
      <c r="J34" s="385"/>
      <c r="U34" s="34"/>
    </row>
    <row r="35" spans="1:21" ht="12.75" customHeight="1">
      <c r="B35" s="59"/>
      <c r="E35" s="59"/>
    </row>
    <row r="36" spans="1:21" ht="12.75" customHeight="1">
      <c r="U36" s="34"/>
    </row>
    <row r="37" spans="1:21" ht="12.75" customHeight="1"/>
    <row r="38" spans="1:21" ht="12.75" customHeight="1">
      <c r="U38" s="34"/>
    </row>
    <row r="39" spans="1:21" ht="12.75" customHeight="1"/>
    <row r="40" spans="1:21" ht="12.75" customHeight="1"/>
  </sheetData>
  <sheetProtection sheet="1" objects="1" scenarios="1" selectLockedCells="1" selectUnlockedCells="1"/>
  <phoneticPr fontId="28" type="noConversion"/>
  <pageMargins left="0.49" right="0.59" top="0.75" bottom="0.75" header="0.3" footer="0.3"/>
  <pageSetup paperSize="9"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0708" r:id="rId4" name="Button 4">
              <controlPr defaultSize="0" print="0" autoFill="0" autoPict="0" macro="[0]!Accueil">
                <anchor moveWithCells="1" sizeWithCells="1">
                  <from>
                    <xdr:col>11</xdr:col>
                    <xdr:colOff>152400</xdr:colOff>
                    <xdr:row>3</xdr:row>
                    <xdr:rowOff>152400</xdr:rowOff>
                  </from>
                  <to>
                    <xdr:col>12</xdr:col>
                    <xdr:colOff>542925</xdr:colOff>
                    <xdr:row>6</xdr:row>
                    <xdr:rowOff>76200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
  <dimension ref="A1:IV31"/>
  <sheetViews>
    <sheetView showGridLines="0" showRowColHeaders="0" zoomScale="156" zoomScaleNormal="156" zoomScalePageLayoutView="180" workbookViewId="0">
      <selection activeCell="A21" sqref="A21"/>
    </sheetView>
  </sheetViews>
  <sheetFormatPr baseColWidth="10" defaultRowHeight="12.75"/>
  <cols>
    <col min="1" max="1" width="35" customWidth="1"/>
    <col min="2" max="21" width="6.7109375" customWidth="1"/>
    <col min="22" max="31" width="6.85546875" customWidth="1"/>
  </cols>
  <sheetData>
    <row r="1" spans="1:30" s="72" customFormat="1" ht="32.25" customHeight="1">
      <c r="A1" s="74" t="s">
        <v>567</v>
      </c>
      <c r="Z1" s="80"/>
      <c r="AA1" s="81"/>
      <c r="AB1" s="80"/>
      <c r="AC1" s="80"/>
      <c r="AD1" s="80"/>
    </row>
    <row r="2" spans="1:30" s="72" customFormat="1">
      <c r="Z2" s="80"/>
      <c r="AA2" s="80"/>
      <c r="AC2" s="80"/>
      <c r="AD2" s="80"/>
    </row>
    <row r="3" spans="1:30" s="72" customFormat="1">
      <c r="A3" s="509" t="s">
        <v>575</v>
      </c>
      <c r="Z3" s="80"/>
      <c r="AA3" s="80"/>
      <c r="AC3" s="80"/>
      <c r="AD3" s="80"/>
    </row>
    <row r="4" spans="1:30" s="72" customFormat="1">
      <c r="A4" s="510"/>
      <c r="Z4" s="80"/>
      <c r="AA4" s="80"/>
      <c r="AC4" s="80"/>
      <c r="AD4" s="80"/>
    </row>
    <row r="5" spans="1:30" s="72" customFormat="1">
      <c r="A5" s="510"/>
    </row>
    <row r="6" spans="1:30" s="72" customFormat="1">
      <c r="A6" s="510"/>
    </row>
    <row r="7" spans="1:30" s="72" customFormat="1">
      <c r="A7" s="510"/>
    </row>
    <row r="8" spans="1:30" s="72" customFormat="1">
      <c r="A8" s="510"/>
    </row>
    <row r="9" spans="1:30" s="72" customFormat="1">
      <c r="A9" s="510"/>
    </row>
    <row r="10" spans="1:30" s="72" customFormat="1">
      <c r="A10" s="510"/>
    </row>
    <row r="11" spans="1:30" s="72" customFormat="1">
      <c r="A11" s="510"/>
    </row>
    <row r="12" spans="1:30" s="72" customFormat="1">
      <c r="A12" s="510"/>
    </row>
    <row r="13" spans="1:30" s="72" customFormat="1">
      <c r="A13" s="510"/>
    </row>
    <row r="14" spans="1:30" s="72" customFormat="1">
      <c r="A14" s="511"/>
    </row>
    <row r="15" spans="1:30" s="72" customFormat="1"/>
    <row r="16" spans="1:30" s="72" customFormat="1">
      <c r="A16" s="75"/>
    </row>
    <row r="17" spans="1:256" s="72" customFormat="1">
      <c r="A17" s="75"/>
    </row>
    <row r="18" spans="1:256" s="72" customFormat="1">
      <c r="A18" s="75"/>
      <c r="D18" s="73"/>
    </row>
    <row r="19" spans="1:256" s="72" customFormat="1">
      <c r="A19" s="75"/>
    </row>
    <row r="20" spans="1:256" s="72" customFormat="1" ht="17.25" customHeight="1"/>
    <row r="21" spans="1:256" s="77" customFormat="1" ht="42.75" customHeight="1">
      <c r="A21" s="159" t="s">
        <v>794</v>
      </c>
    </row>
    <row r="22" spans="1:256" s="77" customFormat="1" ht="42.75" customHeight="1">
      <c r="A22" s="159" t="s">
        <v>565</v>
      </c>
    </row>
    <row r="23" spans="1:256" s="78" customFormat="1" ht="42.75" customHeight="1">
      <c r="A23" s="159" t="s">
        <v>566</v>
      </c>
    </row>
    <row r="24" spans="1:256" ht="17.25" customHeigh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row>
    <row r="25" spans="1:256">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row>
    <row r="26" spans="1:256">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row>
    <row r="27" spans="1:256">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row>
    <row r="28" spans="1:256">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row>
    <row r="29" spans="1:256">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row>
    <row r="30" spans="1:256">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row>
    <row r="31" spans="1:256">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row>
  </sheetData>
  <sheetProtection selectLockedCells="1" selectUnlockedCells="1"/>
  <mergeCells count="1">
    <mergeCell ref="A3:A14"/>
  </mergeCells>
  <phoneticPr fontId="0" type="noConversion"/>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75222" r:id="rId4" name="Button 86">
              <controlPr defaultSize="0" print="0" autoFill="0" autoPict="0" macro="[0]!VoirSilhouetteRes">
                <anchor moveWithCells="1" sizeWithCells="1">
                  <from>
                    <xdr:col>0</xdr:col>
                    <xdr:colOff>66675</xdr:colOff>
                    <xdr:row>15</xdr:row>
                    <xdr:rowOff>76200</xdr:rowOff>
                  </from>
                  <to>
                    <xdr:col>0</xdr:col>
                    <xdr:colOff>2276475</xdr:colOff>
                    <xdr:row>18</xdr:row>
                    <xdr:rowOff>76200</xdr:rowOff>
                  </to>
                </anchor>
              </controlPr>
            </control>
          </mc:Choice>
        </mc:AlternateContent>
        <mc:AlternateContent xmlns:mc="http://schemas.openxmlformats.org/markup-compatibility/2006">
          <mc:Choice Requires="x14">
            <control shapeId="475223" r:id="rId5" name="Button 87">
              <controlPr defaultSize="0" print="0" autoFill="0" autoPict="0" macro="[0]!Accueil">
                <anchor moveWithCells="1" sizeWithCells="1">
                  <from>
                    <xdr:col>14</xdr:col>
                    <xdr:colOff>333375</xdr:colOff>
                    <xdr:row>0</xdr:row>
                    <xdr:rowOff>104775</xdr:rowOff>
                  </from>
                  <to>
                    <xdr:col>19</xdr:col>
                    <xdr:colOff>314325</xdr:colOff>
                    <xdr:row>0</xdr:row>
                    <xdr:rowOff>390525</xdr:rowOff>
                  </to>
                </anchor>
              </controlPr>
            </control>
          </mc:Choice>
        </mc:AlternateContent>
        <mc:AlternateContent xmlns:mc="http://schemas.openxmlformats.org/markup-compatibility/2006">
          <mc:Choice Requires="x14">
            <control shapeId="475224" r:id="rId6" name="Scroll Bar 88">
              <controlPr locked="0" defaultSize="0" autoPict="0">
                <anchor moveWithCells="1">
                  <from>
                    <xdr:col>1</xdr:col>
                    <xdr:colOff>333375</xdr:colOff>
                    <xdr:row>20</xdr:row>
                    <xdr:rowOff>114300</xdr:rowOff>
                  </from>
                  <to>
                    <xdr:col>21</xdr:col>
                    <xdr:colOff>47625</xdr:colOff>
                    <xdr:row>20</xdr:row>
                    <xdr:rowOff>457200</xdr:rowOff>
                  </to>
                </anchor>
              </controlPr>
            </control>
          </mc:Choice>
        </mc:AlternateContent>
        <mc:AlternateContent xmlns:mc="http://schemas.openxmlformats.org/markup-compatibility/2006">
          <mc:Choice Requires="x14">
            <control shapeId="475225" r:id="rId7" name="Scroll Bar 89">
              <controlPr locked="0" defaultSize="0" autoPict="0">
                <anchor moveWithCells="1">
                  <from>
                    <xdr:col>1</xdr:col>
                    <xdr:colOff>333375</xdr:colOff>
                    <xdr:row>21</xdr:row>
                    <xdr:rowOff>114300</xdr:rowOff>
                  </from>
                  <to>
                    <xdr:col>21</xdr:col>
                    <xdr:colOff>47625</xdr:colOff>
                    <xdr:row>21</xdr:row>
                    <xdr:rowOff>447675</xdr:rowOff>
                  </to>
                </anchor>
              </controlPr>
            </control>
          </mc:Choice>
        </mc:AlternateContent>
        <mc:AlternateContent xmlns:mc="http://schemas.openxmlformats.org/markup-compatibility/2006">
          <mc:Choice Requires="x14">
            <control shapeId="475226" r:id="rId8" name="Scroll Bar 90">
              <controlPr defaultSize="0" autoPict="0">
                <anchor moveWithCells="1">
                  <from>
                    <xdr:col>1</xdr:col>
                    <xdr:colOff>342900</xdr:colOff>
                    <xdr:row>22</xdr:row>
                    <xdr:rowOff>104775</xdr:rowOff>
                  </from>
                  <to>
                    <xdr:col>21</xdr:col>
                    <xdr:colOff>66675</xdr:colOff>
                    <xdr:row>22</xdr:row>
                    <xdr:rowOff>447675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0"/>
  <dimension ref="A1:IV31"/>
  <sheetViews>
    <sheetView showGridLines="0" showRowColHeaders="0" zoomScale="156" zoomScaleNormal="156" zoomScalePageLayoutView="180" workbookViewId="0">
      <selection activeCell="A21" sqref="A21"/>
    </sheetView>
  </sheetViews>
  <sheetFormatPr baseColWidth="10" defaultRowHeight="12.75"/>
  <cols>
    <col min="1" max="1" width="35" customWidth="1"/>
    <col min="2" max="21" width="6.7109375" customWidth="1"/>
    <col min="22" max="31" width="6.85546875" customWidth="1"/>
  </cols>
  <sheetData>
    <row r="1" spans="1:30" s="72" customFormat="1" ht="32.25" customHeight="1">
      <c r="A1" s="74" t="s">
        <v>567</v>
      </c>
      <c r="Z1" s="80"/>
      <c r="AA1" s="81"/>
      <c r="AB1" s="80"/>
      <c r="AC1" s="80"/>
      <c r="AD1" s="80"/>
    </row>
    <row r="2" spans="1:30" s="72" customFormat="1">
      <c r="Z2" s="80"/>
      <c r="AA2" s="80"/>
      <c r="AC2" s="80"/>
      <c r="AD2" s="80"/>
    </row>
    <row r="3" spans="1:30" s="72" customFormat="1">
      <c r="A3" s="509" t="s">
        <v>575</v>
      </c>
      <c r="Z3" s="80"/>
      <c r="AA3" s="80"/>
      <c r="AC3" s="80"/>
      <c r="AD3" s="80"/>
    </row>
    <row r="4" spans="1:30" s="72" customFormat="1">
      <c r="A4" s="510"/>
      <c r="Z4" s="80"/>
      <c r="AA4" s="80"/>
      <c r="AC4" s="80"/>
      <c r="AD4" s="80"/>
    </row>
    <row r="5" spans="1:30" s="72" customFormat="1">
      <c r="A5" s="510"/>
    </row>
    <row r="6" spans="1:30" s="72" customFormat="1">
      <c r="A6" s="510"/>
    </row>
    <row r="7" spans="1:30" s="72" customFormat="1">
      <c r="A7" s="510"/>
    </row>
    <row r="8" spans="1:30" s="72" customFormat="1">
      <c r="A8" s="510"/>
    </row>
    <row r="9" spans="1:30" s="72" customFormat="1">
      <c r="A9" s="510"/>
    </row>
    <row r="10" spans="1:30" s="72" customFormat="1">
      <c r="A10" s="510"/>
    </row>
    <row r="11" spans="1:30" s="72" customFormat="1">
      <c r="A11" s="510"/>
    </row>
    <row r="12" spans="1:30" s="72" customFormat="1">
      <c r="A12" s="510"/>
    </row>
    <row r="13" spans="1:30" s="72" customFormat="1">
      <c r="A13" s="510"/>
    </row>
    <row r="14" spans="1:30" s="72" customFormat="1">
      <c r="A14" s="511"/>
    </row>
    <row r="15" spans="1:30" s="72" customFormat="1"/>
    <row r="16" spans="1:30" s="72" customFormat="1">
      <c r="A16" s="75"/>
    </row>
    <row r="17" spans="1:256" s="72" customFormat="1">
      <c r="A17" s="75"/>
    </row>
    <row r="18" spans="1:256" s="72" customFormat="1">
      <c r="A18" s="75"/>
      <c r="D18" s="73"/>
    </row>
    <row r="19" spans="1:256" s="72" customFormat="1">
      <c r="A19" s="75"/>
    </row>
    <row r="20" spans="1:256" s="72" customFormat="1" ht="17.25" customHeight="1"/>
    <row r="21" spans="1:256" s="77" customFormat="1" ht="42.75" customHeight="1">
      <c r="A21" s="76" t="s">
        <v>794</v>
      </c>
    </row>
    <row r="22" spans="1:256" s="77" customFormat="1" ht="42.75" customHeight="1">
      <c r="A22" s="76" t="s">
        <v>565</v>
      </c>
    </row>
    <row r="23" spans="1:256" s="78" customFormat="1" ht="42.75" customHeight="1">
      <c r="A23" s="76" t="s">
        <v>566</v>
      </c>
    </row>
    <row r="24" spans="1:256" ht="17.25" customHeight="1">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c r="DN24" s="72"/>
      <c r="DO24" s="72"/>
      <c r="DP24" s="72"/>
      <c r="DQ24" s="72"/>
      <c r="DR24" s="72"/>
      <c r="DS24" s="72"/>
      <c r="DT24" s="72"/>
      <c r="DU24" s="72"/>
      <c r="DV24" s="72"/>
      <c r="DW24" s="72"/>
      <c r="DX24" s="72"/>
      <c r="DY24" s="72"/>
      <c r="DZ24" s="72"/>
      <c r="EA24" s="72"/>
      <c r="EB24" s="72"/>
      <c r="EC24" s="72"/>
      <c r="ED24" s="72"/>
      <c r="EE24" s="72"/>
      <c r="EF24" s="72"/>
      <c r="EG24" s="72"/>
      <c r="EH24" s="72"/>
      <c r="EI24" s="72"/>
      <c r="EJ24" s="72"/>
      <c r="EK24" s="72"/>
      <c r="EL24" s="72"/>
      <c r="EM24" s="72"/>
      <c r="EN24" s="72"/>
      <c r="EO24" s="72"/>
      <c r="EP24" s="72"/>
      <c r="EQ24" s="72"/>
      <c r="ER24" s="72"/>
      <c r="ES24" s="72"/>
      <c r="ET24" s="72"/>
      <c r="EU24" s="72"/>
      <c r="EV24" s="72"/>
      <c r="EW24" s="72"/>
      <c r="EX24" s="72"/>
      <c r="EY24" s="72"/>
      <c r="EZ24" s="72"/>
      <c r="FA24" s="72"/>
      <c r="FB24" s="72"/>
      <c r="FC24" s="72"/>
      <c r="FD24" s="72"/>
      <c r="FE24" s="72"/>
      <c r="FF24" s="72"/>
      <c r="FG24" s="72"/>
      <c r="FH24" s="72"/>
      <c r="FI24" s="72"/>
      <c r="FJ24" s="72"/>
      <c r="FK24" s="72"/>
      <c r="FL24" s="72"/>
      <c r="FM24" s="72"/>
      <c r="FN24" s="72"/>
      <c r="FO24" s="72"/>
      <c r="FP24" s="72"/>
      <c r="FQ24" s="72"/>
      <c r="FR24" s="72"/>
      <c r="FS24" s="72"/>
      <c r="FT24" s="72"/>
      <c r="FU24" s="72"/>
      <c r="FV24" s="72"/>
      <c r="FW24" s="72"/>
      <c r="FX24" s="72"/>
      <c r="FY24" s="72"/>
      <c r="FZ24" s="72"/>
      <c r="GA24" s="72"/>
      <c r="GB24" s="72"/>
      <c r="GC24" s="72"/>
      <c r="GD24" s="72"/>
      <c r="GE24" s="72"/>
      <c r="GF24" s="72"/>
      <c r="GG24" s="72"/>
      <c r="GH24" s="72"/>
      <c r="GI24" s="72"/>
      <c r="GJ24" s="72"/>
      <c r="GK24" s="72"/>
      <c r="GL24" s="72"/>
      <c r="GM24" s="72"/>
      <c r="GN24" s="72"/>
      <c r="GO24" s="72"/>
      <c r="GP24" s="72"/>
      <c r="GQ24" s="72"/>
      <c r="GR24" s="72"/>
      <c r="GS24" s="72"/>
      <c r="GT24" s="72"/>
      <c r="GU24" s="72"/>
      <c r="GV24" s="72"/>
      <c r="GW24" s="72"/>
      <c r="GX24" s="72"/>
      <c r="GY24" s="72"/>
      <c r="GZ24" s="72"/>
      <c r="HA24" s="72"/>
      <c r="HB24" s="72"/>
      <c r="HC24" s="72"/>
      <c r="HD24" s="72"/>
      <c r="HE24" s="72"/>
      <c r="HF24" s="72"/>
      <c r="HG24" s="72"/>
      <c r="HH24" s="72"/>
      <c r="HI24" s="72"/>
      <c r="HJ24" s="72"/>
      <c r="HK24" s="72"/>
      <c r="HL24" s="72"/>
      <c r="HM24" s="72"/>
      <c r="HN24" s="72"/>
      <c r="HO24" s="72"/>
      <c r="HP24" s="72"/>
      <c r="HQ24" s="72"/>
      <c r="HR24" s="72"/>
      <c r="HS24" s="72"/>
      <c r="HT24" s="72"/>
      <c r="HU24" s="72"/>
      <c r="HV24" s="72"/>
      <c r="HW24" s="72"/>
      <c r="HX24" s="72"/>
      <c r="HY24" s="72"/>
      <c r="HZ24" s="72"/>
      <c r="IA24" s="72"/>
      <c r="IB24" s="72"/>
      <c r="IC24" s="72"/>
      <c r="ID24" s="72"/>
      <c r="IE24" s="72"/>
      <c r="IF24" s="72"/>
      <c r="IG24" s="72"/>
      <c r="IH24" s="72"/>
      <c r="II24" s="72"/>
      <c r="IJ24" s="72"/>
      <c r="IK24" s="72"/>
      <c r="IL24" s="72"/>
      <c r="IM24" s="72"/>
      <c r="IN24" s="72"/>
      <c r="IO24" s="72"/>
      <c r="IP24" s="72"/>
      <c r="IQ24" s="72"/>
      <c r="IR24" s="72"/>
      <c r="IS24" s="72"/>
      <c r="IT24" s="72"/>
      <c r="IU24" s="72"/>
      <c r="IV24" s="72"/>
    </row>
    <row r="25" spans="1:256">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row>
    <row r="26" spans="1:256">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row>
    <row r="27" spans="1:256">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row>
    <row r="28" spans="1:256">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row>
    <row r="29" spans="1:256">
      <c r="A29" s="7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row>
    <row r="30" spans="1:256">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row>
    <row r="31" spans="1:256" ht="191.85" customHeight="1">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2"/>
      <c r="GM31" s="72"/>
      <c r="GN31" s="72"/>
      <c r="GO31" s="72"/>
      <c r="GP31" s="72"/>
      <c r="GQ31" s="72"/>
      <c r="GR31" s="72"/>
      <c r="GS31" s="72"/>
      <c r="GT31" s="72"/>
      <c r="GU31" s="72"/>
      <c r="GV31" s="72"/>
      <c r="GW31" s="72"/>
      <c r="GX31" s="72"/>
      <c r="GY31" s="72"/>
      <c r="GZ31" s="72"/>
      <c r="HA31" s="72"/>
      <c r="HB31" s="72"/>
      <c r="HC31" s="72"/>
      <c r="HD31" s="72"/>
      <c r="HE31" s="72"/>
      <c r="HF31" s="72"/>
      <c r="HG31" s="72"/>
      <c r="HH31" s="72"/>
      <c r="HI31" s="72"/>
      <c r="HJ31" s="72"/>
      <c r="HK31" s="72"/>
      <c r="HL31" s="72"/>
      <c r="HM31" s="72"/>
      <c r="HN31" s="72"/>
      <c r="HO31" s="72"/>
      <c r="HP31" s="72"/>
      <c r="HQ31" s="72"/>
      <c r="HR31" s="72"/>
      <c r="HS31" s="72"/>
      <c r="HT31" s="72"/>
      <c r="HU31" s="72"/>
      <c r="HV31" s="72"/>
      <c r="HW31" s="72"/>
      <c r="HX31" s="72"/>
      <c r="HY31" s="72"/>
      <c r="HZ31" s="72"/>
      <c r="IA31" s="72"/>
      <c r="IB31" s="72"/>
      <c r="IC31" s="72"/>
      <c r="ID31" s="72"/>
      <c r="IE31" s="72"/>
      <c r="IF31" s="72"/>
      <c r="IG31" s="72"/>
      <c r="IH31" s="72"/>
      <c r="II31" s="72"/>
      <c r="IJ31" s="72"/>
      <c r="IK31" s="72"/>
      <c r="IL31" s="72"/>
      <c r="IM31" s="72"/>
      <c r="IN31" s="72"/>
      <c r="IO31" s="72"/>
      <c r="IP31" s="72"/>
      <c r="IQ31" s="72"/>
      <c r="IR31" s="72"/>
      <c r="IS31" s="72"/>
      <c r="IT31" s="72"/>
      <c r="IU31" s="72"/>
      <c r="IV31" s="72"/>
    </row>
  </sheetData>
  <sheetProtection selectLockedCells="1" selectUnlockedCells="1"/>
  <mergeCells count="1">
    <mergeCell ref="A3:A14"/>
  </mergeCells>
  <phoneticPr fontId="0" type="noConversion"/>
  <pageMargins left="0.7" right="0.7" top="0.75" bottom="0.75" header="0.3" footer="0.3"/>
  <drawing r:id="rId1"/>
  <legacyDrawing r:id="rId2"/>
  <oleObjects>
    <mc:AlternateContent xmlns:mc="http://schemas.openxmlformats.org/markup-compatibility/2006">
      <mc:Choice Requires="x14">
        <oleObject shapeId="492564" r:id="rId3">
          <objectPr defaultSize="0" autoPict="0" r:id="rId4">
            <anchor moveWithCells="1">
              <from>
                <xdr:col>1</xdr:col>
                <xdr:colOff>333375</xdr:colOff>
                <xdr:row>1</xdr:row>
                <xdr:rowOff>104775</xdr:rowOff>
              </from>
              <to>
                <xdr:col>21</xdr:col>
                <xdr:colOff>66675</xdr:colOff>
                <xdr:row>20</xdr:row>
                <xdr:rowOff>0</xdr:rowOff>
              </to>
            </anchor>
          </objectPr>
        </oleObject>
      </mc:Choice>
      <mc:Fallback>
        <oleObject shapeId="492564" r:id="rId3"/>
      </mc:Fallback>
    </mc:AlternateContent>
  </oleObjects>
  <mc:AlternateContent xmlns:mc="http://schemas.openxmlformats.org/markup-compatibility/2006">
    <mc:Choice Requires="x14">
      <controls>
        <mc:AlternateContent xmlns:mc="http://schemas.openxmlformats.org/markup-compatibility/2006">
          <mc:Choice Requires="x14">
            <control shapeId="492558" r:id="rId5" name="Button 14">
              <controlPr defaultSize="0" print="0" autoFill="0" autoPict="0" macro="[0]!VoirSilhouetteRes">
                <anchor moveWithCells="1" sizeWithCells="1">
                  <from>
                    <xdr:col>0</xdr:col>
                    <xdr:colOff>66675</xdr:colOff>
                    <xdr:row>15</xdr:row>
                    <xdr:rowOff>76200</xdr:rowOff>
                  </from>
                  <to>
                    <xdr:col>0</xdr:col>
                    <xdr:colOff>2276475</xdr:colOff>
                    <xdr:row>18</xdr:row>
                    <xdr:rowOff>76200</xdr:rowOff>
                  </to>
                </anchor>
              </controlPr>
            </control>
          </mc:Choice>
        </mc:AlternateContent>
        <mc:AlternateContent xmlns:mc="http://schemas.openxmlformats.org/markup-compatibility/2006">
          <mc:Choice Requires="x14">
            <control shapeId="492559" r:id="rId6" name="Button 15">
              <controlPr defaultSize="0" print="0" autoFill="0" autoPict="0" macro="[0]!Accueil">
                <anchor moveWithCells="1" sizeWithCells="1">
                  <from>
                    <xdr:col>14</xdr:col>
                    <xdr:colOff>333375</xdr:colOff>
                    <xdr:row>0</xdr:row>
                    <xdr:rowOff>104775</xdr:rowOff>
                  </from>
                  <to>
                    <xdr:col>19</xdr:col>
                    <xdr:colOff>314325</xdr:colOff>
                    <xdr:row>0</xdr:row>
                    <xdr:rowOff>390525</xdr:rowOff>
                  </to>
                </anchor>
              </controlPr>
            </control>
          </mc:Choice>
        </mc:AlternateContent>
        <mc:AlternateContent xmlns:mc="http://schemas.openxmlformats.org/markup-compatibility/2006">
          <mc:Choice Requires="x14">
            <control shapeId="492560" r:id="rId7" name="Scroll Bar 16">
              <controlPr locked="0" defaultSize="0" autoPict="0">
                <anchor moveWithCells="1">
                  <from>
                    <xdr:col>1</xdr:col>
                    <xdr:colOff>333375</xdr:colOff>
                    <xdr:row>20</xdr:row>
                    <xdr:rowOff>123825</xdr:rowOff>
                  </from>
                  <to>
                    <xdr:col>21</xdr:col>
                    <xdr:colOff>47625</xdr:colOff>
                    <xdr:row>20</xdr:row>
                    <xdr:rowOff>447675</xdr:rowOff>
                  </to>
                </anchor>
              </controlPr>
            </control>
          </mc:Choice>
        </mc:AlternateContent>
        <mc:AlternateContent xmlns:mc="http://schemas.openxmlformats.org/markup-compatibility/2006">
          <mc:Choice Requires="x14">
            <control shapeId="492561" r:id="rId8" name="Scroll Bar 17">
              <controlPr locked="0" defaultSize="0" autoPict="0">
                <anchor moveWithCells="1">
                  <from>
                    <xdr:col>1</xdr:col>
                    <xdr:colOff>333375</xdr:colOff>
                    <xdr:row>21</xdr:row>
                    <xdr:rowOff>114300</xdr:rowOff>
                  </from>
                  <to>
                    <xdr:col>21</xdr:col>
                    <xdr:colOff>38100</xdr:colOff>
                    <xdr:row>21</xdr:row>
                    <xdr:rowOff>447675</xdr:rowOff>
                  </to>
                </anchor>
              </controlPr>
            </control>
          </mc:Choice>
        </mc:AlternateContent>
        <mc:AlternateContent xmlns:mc="http://schemas.openxmlformats.org/markup-compatibility/2006">
          <mc:Choice Requires="x14">
            <control shapeId="492562" r:id="rId9" name="Scroll Bar 18">
              <controlPr locked="0" defaultSize="0" autoPict="0">
                <anchor moveWithCells="1">
                  <from>
                    <xdr:col>1</xdr:col>
                    <xdr:colOff>342900</xdr:colOff>
                    <xdr:row>22</xdr:row>
                    <xdr:rowOff>114300</xdr:rowOff>
                  </from>
                  <to>
                    <xdr:col>21</xdr:col>
                    <xdr:colOff>66675</xdr:colOff>
                    <xdr:row>22</xdr:row>
                    <xdr:rowOff>457200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1"/>
  <dimension ref="A1:W31"/>
  <sheetViews>
    <sheetView showGridLines="0" showRowColHeaders="0" zoomScale="149" zoomScaleNormal="149" zoomScalePageLayoutView="180" workbookViewId="0">
      <selection activeCell="A21" sqref="A21"/>
    </sheetView>
  </sheetViews>
  <sheetFormatPr baseColWidth="10" defaultRowHeight="12.75"/>
  <cols>
    <col min="1" max="1" width="35.28515625" customWidth="1"/>
  </cols>
  <sheetData>
    <row r="1" spans="1:23" ht="25.5">
      <c r="A1" s="74" t="s">
        <v>567</v>
      </c>
      <c r="B1" s="72"/>
      <c r="C1" s="72"/>
      <c r="D1" s="72"/>
      <c r="E1" s="72"/>
      <c r="F1" s="72"/>
      <c r="G1" s="72"/>
      <c r="H1" s="72"/>
      <c r="I1" s="72"/>
      <c r="J1" s="72"/>
      <c r="K1" s="72"/>
      <c r="L1" s="72"/>
      <c r="M1" s="72"/>
      <c r="N1" s="72"/>
      <c r="O1" s="72"/>
      <c r="P1" s="72"/>
      <c r="Q1" s="72"/>
      <c r="R1" s="72"/>
      <c r="S1" s="72"/>
      <c r="T1" s="72"/>
      <c r="U1" s="72"/>
      <c r="V1" s="72"/>
      <c r="W1" s="72"/>
    </row>
    <row r="2" spans="1:23">
      <c r="A2" s="72"/>
      <c r="B2" s="72"/>
      <c r="C2" s="72"/>
      <c r="D2" s="72"/>
      <c r="E2" s="72"/>
      <c r="F2" s="72"/>
      <c r="G2" s="72"/>
      <c r="H2" s="72"/>
      <c r="I2" s="72"/>
      <c r="J2" s="72"/>
      <c r="K2" s="72"/>
      <c r="L2" s="72"/>
      <c r="M2" s="72"/>
      <c r="N2" s="72"/>
      <c r="O2" s="72"/>
      <c r="P2" s="72"/>
      <c r="Q2" s="72"/>
      <c r="R2" s="72"/>
      <c r="S2" s="72"/>
      <c r="T2" s="72"/>
      <c r="U2" s="72"/>
      <c r="V2" s="72"/>
      <c r="W2" s="72"/>
    </row>
    <row r="3" spans="1:23" ht="12.75" customHeight="1">
      <c r="A3" s="509" t="s">
        <v>575</v>
      </c>
      <c r="B3" s="72"/>
      <c r="C3" s="72"/>
      <c r="D3" s="72"/>
      <c r="E3" s="72"/>
      <c r="F3" s="72"/>
      <c r="G3" s="72"/>
      <c r="H3" s="72"/>
      <c r="I3" s="72"/>
      <c r="J3" s="72"/>
      <c r="K3" s="72"/>
      <c r="L3" s="72"/>
      <c r="M3" s="72"/>
      <c r="N3" s="72"/>
      <c r="O3" s="72"/>
      <c r="P3" s="72"/>
      <c r="Q3" s="72"/>
      <c r="R3" s="72"/>
      <c r="S3" s="72"/>
      <c r="T3" s="72"/>
      <c r="U3" s="72"/>
      <c r="V3" s="72"/>
      <c r="W3" s="72"/>
    </row>
    <row r="4" spans="1:23" ht="12.75" customHeight="1">
      <c r="A4" s="510"/>
      <c r="B4" s="72"/>
      <c r="C4" s="72"/>
      <c r="D4" s="72"/>
      <c r="E4" s="72"/>
      <c r="F4" s="72"/>
      <c r="G4" s="72"/>
      <c r="H4" s="72"/>
      <c r="I4" s="72"/>
      <c r="J4" s="72"/>
      <c r="K4" s="72"/>
      <c r="L4" s="72"/>
      <c r="M4" s="72"/>
      <c r="N4" s="72"/>
      <c r="O4" s="72"/>
      <c r="P4" s="72"/>
      <c r="Q4" s="72"/>
      <c r="R4" s="72"/>
      <c r="S4" s="72"/>
      <c r="T4" s="72"/>
      <c r="U4" s="72"/>
      <c r="V4" s="72"/>
      <c r="W4" s="72"/>
    </row>
    <row r="5" spans="1:23" ht="12.75" customHeight="1">
      <c r="A5" s="510"/>
      <c r="B5" s="72"/>
      <c r="C5" s="72"/>
      <c r="D5" s="72"/>
      <c r="E5" s="72"/>
      <c r="F5" s="72"/>
      <c r="G5" s="72"/>
      <c r="H5" s="72"/>
      <c r="I5" s="72"/>
      <c r="J5" s="72"/>
      <c r="K5" s="72"/>
      <c r="L5" s="72"/>
      <c r="M5" s="72"/>
      <c r="N5" s="72"/>
      <c r="O5" s="72"/>
      <c r="P5" s="72"/>
      <c r="Q5" s="72"/>
      <c r="R5" s="72"/>
      <c r="S5" s="72"/>
      <c r="T5" s="72"/>
      <c r="U5" s="72"/>
      <c r="V5" s="72"/>
      <c r="W5" s="72"/>
    </row>
    <row r="6" spans="1:23" ht="12.75" customHeight="1">
      <c r="A6" s="510"/>
      <c r="B6" s="72"/>
      <c r="C6" s="72"/>
      <c r="D6" s="72"/>
      <c r="E6" s="72"/>
      <c r="F6" s="72"/>
      <c r="G6" s="72"/>
      <c r="H6" s="72"/>
      <c r="I6" s="72"/>
      <c r="J6" s="72"/>
      <c r="K6" s="72"/>
      <c r="L6" s="72"/>
      <c r="M6" s="72"/>
      <c r="N6" s="72"/>
      <c r="O6" s="72"/>
      <c r="P6" s="72"/>
      <c r="Q6" s="72"/>
      <c r="R6" s="72"/>
      <c r="S6" s="72"/>
      <c r="T6" s="72"/>
      <c r="U6" s="72"/>
      <c r="V6" s="72"/>
      <c r="W6" s="72"/>
    </row>
    <row r="7" spans="1:23" ht="12.75" customHeight="1">
      <c r="A7" s="510"/>
      <c r="B7" s="72"/>
      <c r="C7" s="72"/>
      <c r="D7" s="72"/>
      <c r="E7" s="72"/>
      <c r="F7" s="72"/>
      <c r="G7" s="72"/>
      <c r="H7" s="72"/>
      <c r="I7" s="72"/>
      <c r="J7" s="72"/>
      <c r="K7" s="72"/>
      <c r="L7" s="72"/>
      <c r="M7" s="72"/>
      <c r="N7" s="72"/>
      <c r="O7" s="72"/>
      <c r="P7" s="72"/>
      <c r="Q7" s="72"/>
      <c r="R7" s="72"/>
      <c r="S7" s="72"/>
      <c r="T7" s="72"/>
      <c r="U7" s="72"/>
      <c r="V7" s="72"/>
      <c r="W7" s="72"/>
    </row>
    <row r="8" spans="1:23" ht="12.75" customHeight="1">
      <c r="A8" s="510"/>
      <c r="B8" s="72"/>
      <c r="C8" s="72"/>
      <c r="D8" s="72"/>
      <c r="E8" s="72"/>
      <c r="F8" s="72"/>
      <c r="G8" s="72"/>
      <c r="H8" s="72"/>
      <c r="I8" s="72"/>
      <c r="J8" s="72"/>
      <c r="K8" s="72"/>
      <c r="L8" s="72"/>
      <c r="M8" s="72"/>
      <c r="N8" s="72"/>
      <c r="O8" s="72"/>
      <c r="P8" s="72"/>
      <c r="Q8" s="72"/>
      <c r="R8" s="72"/>
      <c r="S8" s="72"/>
      <c r="T8" s="72"/>
      <c r="U8" s="72"/>
      <c r="V8" s="72"/>
      <c r="W8" s="72"/>
    </row>
    <row r="9" spans="1:23" ht="12.75" customHeight="1">
      <c r="A9" s="510"/>
      <c r="B9" s="72"/>
      <c r="C9" s="72"/>
      <c r="D9" s="72"/>
      <c r="E9" s="72"/>
      <c r="F9" s="72"/>
      <c r="G9" s="72"/>
      <c r="H9" s="72"/>
      <c r="I9" s="72"/>
      <c r="J9" s="72"/>
      <c r="K9" s="72"/>
      <c r="L9" s="72"/>
      <c r="M9" s="72"/>
      <c r="N9" s="72"/>
      <c r="O9" s="72"/>
      <c r="P9" s="72"/>
      <c r="Q9" s="72"/>
      <c r="R9" s="72"/>
      <c r="S9" s="72"/>
      <c r="T9" s="72"/>
      <c r="U9" s="72"/>
      <c r="V9" s="72"/>
      <c r="W9" s="72"/>
    </row>
    <row r="10" spans="1:23" ht="12.75" customHeight="1">
      <c r="A10" s="510"/>
      <c r="B10" s="72"/>
      <c r="C10" s="72"/>
      <c r="D10" s="72"/>
      <c r="E10" s="72"/>
      <c r="F10" s="72"/>
      <c r="G10" s="72"/>
      <c r="H10" s="72"/>
      <c r="I10" s="72"/>
      <c r="J10" s="72"/>
      <c r="K10" s="72"/>
      <c r="L10" s="72"/>
      <c r="M10" s="72"/>
      <c r="N10" s="72"/>
      <c r="O10" s="72"/>
      <c r="P10" s="72"/>
      <c r="Q10" s="72"/>
      <c r="R10" s="72"/>
      <c r="S10" s="72"/>
      <c r="T10" s="72"/>
      <c r="U10" s="72"/>
      <c r="V10" s="72"/>
      <c r="W10" s="72"/>
    </row>
    <row r="11" spans="1:23" ht="12.75" customHeight="1">
      <c r="A11" s="510"/>
      <c r="B11" s="72"/>
      <c r="C11" s="72"/>
      <c r="D11" s="72"/>
      <c r="E11" s="72"/>
      <c r="F11" s="72"/>
      <c r="G11" s="72"/>
      <c r="H11" s="72"/>
      <c r="I11" s="72"/>
      <c r="J11" s="72"/>
      <c r="K11" s="72"/>
      <c r="L11" s="72"/>
      <c r="M11" s="72"/>
      <c r="N11" s="72"/>
      <c r="O11" s="72"/>
      <c r="P11" s="72"/>
      <c r="Q11" s="72"/>
      <c r="R11" s="72"/>
      <c r="S11" s="72"/>
      <c r="T11" s="72"/>
      <c r="U11" s="72"/>
      <c r="V11" s="72"/>
      <c r="W11" s="72"/>
    </row>
    <row r="12" spans="1:23" ht="12.75" customHeight="1">
      <c r="A12" s="510"/>
      <c r="B12" s="72"/>
      <c r="C12" s="72"/>
      <c r="D12" s="72"/>
      <c r="E12" s="72"/>
      <c r="F12" s="72"/>
      <c r="G12" s="72"/>
      <c r="H12" s="72"/>
      <c r="I12" s="72"/>
      <c r="J12" s="72"/>
      <c r="K12" s="72"/>
      <c r="L12" s="72"/>
      <c r="M12" s="72"/>
      <c r="N12" s="72"/>
      <c r="O12" s="72"/>
      <c r="P12" s="72"/>
      <c r="Q12" s="72"/>
      <c r="R12" s="72"/>
      <c r="S12" s="72"/>
      <c r="T12" s="72"/>
      <c r="U12" s="72"/>
      <c r="V12" s="72"/>
      <c r="W12" s="72"/>
    </row>
    <row r="13" spans="1:23" ht="12.75" customHeight="1">
      <c r="A13" s="510"/>
      <c r="B13" s="72"/>
      <c r="C13" s="72"/>
      <c r="D13" s="72"/>
      <c r="E13" s="72"/>
      <c r="F13" s="72"/>
      <c r="G13" s="72"/>
      <c r="H13" s="72"/>
      <c r="I13" s="72"/>
      <c r="J13" s="72"/>
      <c r="K13" s="72"/>
      <c r="L13" s="72"/>
      <c r="M13" s="72"/>
      <c r="N13" s="72"/>
      <c r="O13" s="72"/>
      <c r="P13" s="72"/>
      <c r="Q13" s="72"/>
      <c r="R13" s="72"/>
      <c r="S13" s="72"/>
      <c r="T13" s="72"/>
      <c r="U13" s="72"/>
      <c r="V13" s="72"/>
      <c r="W13" s="72"/>
    </row>
    <row r="14" spans="1:23" ht="12.75" customHeight="1">
      <c r="A14" s="511"/>
      <c r="B14" s="72"/>
      <c r="C14" s="72"/>
      <c r="D14" s="72"/>
      <c r="E14" s="72"/>
      <c r="F14" s="72"/>
      <c r="G14" s="72"/>
      <c r="H14" s="72"/>
      <c r="I14" s="72"/>
      <c r="J14" s="72"/>
      <c r="K14" s="72"/>
      <c r="L14" s="72"/>
      <c r="M14" s="72"/>
      <c r="N14" s="72"/>
      <c r="O14" s="72"/>
      <c r="P14" s="72"/>
      <c r="Q14" s="72"/>
      <c r="R14" s="72"/>
      <c r="S14" s="72"/>
      <c r="T14" s="72"/>
      <c r="U14" s="72"/>
      <c r="V14" s="72"/>
      <c r="W14" s="72"/>
    </row>
    <row r="15" spans="1:23">
      <c r="A15" s="72"/>
      <c r="B15" s="72"/>
      <c r="C15" s="72"/>
      <c r="D15" s="72"/>
      <c r="E15" s="72"/>
      <c r="F15" s="72"/>
      <c r="G15" s="72"/>
      <c r="H15" s="72"/>
      <c r="I15" s="72"/>
      <c r="J15" s="72"/>
      <c r="K15" s="72"/>
      <c r="L15" s="72"/>
      <c r="M15" s="72"/>
      <c r="N15" s="72"/>
      <c r="O15" s="72"/>
      <c r="P15" s="72"/>
      <c r="Q15" s="72"/>
      <c r="R15" s="72"/>
      <c r="S15" s="72"/>
      <c r="T15" s="72"/>
      <c r="U15" s="72"/>
      <c r="V15" s="72"/>
      <c r="W15" s="72"/>
    </row>
    <row r="16" spans="1:23">
      <c r="A16" s="75"/>
      <c r="B16" s="72"/>
      <c r="C16" s="72"/>
      <c r="D16" s="72"/>
      <c r="E16" s="72"/>
      <c r="F16" s="72"/>
      <c r="G16" s="72"/>
      <c r="H16" s="72"/>
      <c r="I16" s="72"/>
      <c r="J16" s="72"/>
      <c r="K16" s="72"/>
      <c r="L16" s="72"/>
      <c r="M16" s="72"/>
      <c r="N16" s="72"/>
      <c r="O16" s="72"/>
      <c r="P16" s="72"/>
      <c r="Q16" s="72"/>
      <c r="R16" s="72"/>
      <c r="S16" s="72"/>
      <c r="T16" s="72"/>
      <c r="U16" s="72"/>
      <c r="V16" s="72"/>
      <c r="W16" s="72"/>
    </row>
    <row r="17" spans="1:23">
      <c r="A17" s="75"/>
      <c r="B17" s="72"/>
      <c r="C17" s="72"/>
      <c r="D17" s="72"/>
      <c r="E17" s="72"/>
      <c r="F17" s="72"/>
      <c r="G17" s="72"/>
      <c r="H17" s="72"/>
      <c r="I17" s="72"/>
      <c r="J17" s="72"/>
      <c r="K17" s="72"/>
      <c r="L17" s="72"/>
      <c r="M17" s="72"/>
      <c r="N17" s="72"/>
      <c r="O17" s="72"/>
      <c r="P17" s="72"/>
      <c r="Q17" s="72"/>
      <c r="R17" s="72"/>
      <c r="S17" s="72"/>
      <c r="T17" s="72"/>
      <c r="U17" s="72"/>
      <c r="V17" s="72"/>
      <c r="W17" s="72"/>
    </row>
    <row r="18" spans="1:23">
      <c r="A18" s="75"/>
      <c r="B18" s="72"/>
      <c r="C18" s="72"/>
      <c r="D18" s="73"/>
      <c r="E18" s="72"/>
      <c r="F18" s="72"/>
      <c r="G18" s="72"/>
      <c r="H18" s="72"/>
      <c r="I18" s="72"/>
      <c r="J18" s="72"/>
      <c r="K18" s="72"/>
      <c r="L18" s="72"/>
      <c r="M18" s="72"/>
      <c r="N18" s="72"/>
      <c r="O18" s="72"/>
      <c r="P18" s="72"/>
      <c r="Q18" s="72"/>
      <c r="R18" s="72"/>
      <c r="S18" s="72"/>
      <c r="T18" s="72"/>
      <c r="U18" s="72"/>
      <c r="V18" s="72"/>
      <c r="W18" s="72"/>
    </row>
    <row r="19" spans="1:23">
      <c r="A19" s="75"/>
      <c r="B19" s="72"/>
      <c r="C19" s="72"/>
      <c r="D19" s="72"/>
      <c r="E19" s="72"/>
      <c r="F19" s="72"/>
      <c r="G19" s="72"/>
      <c r="H19" s="72"/>
      <c r="I19" s="72"/>
      <c r="J19" s="72"/>
      <c r="K19" s="72"/>
      <c r="L19" s="72"/>
      <c r="M19" s="72"/>
      <c r="N19" s="72"/>
      <c r="O19" s="72"/>
      <c r="P19" s="72"/>
      <c r="Q19" s="72"/>
      <c r="R19" s="72"/>
      <c r="S19" s="72"/>
      <c r="T19" s="72"/>
      <c r="U19" s="72"/>
      <c r="V19" s="72"/>
      <c r="W19" s="72"/>
    </row>
    <row r="20" spans="1:23">
      <c r="A20" s="72"/>
      <c r="B20" s="72"/>
      <c r="C20" s="72"/>
      <c r="D20" s="72"/>
      <c r="E20" s="72"/>
      <c r="F20" s="72"/>
      <c r="G20" s="72"/>
      <c r="H20" s="72"/>
      <c r="I20" s="72"/>
      <c r="J20" s="72"/>
      <c r="K20" s="72"/>
      <c r="L20" s="72"/>
      <c r="M20" s="72"/>
      <c r="N20" s="72"/>
      <c r="O20" s="72"/>
      <c r="P20" s="72"/>
      <c r="Q20" s="72"/>
      <c r="R20" s="72"/>
      <c r="S20" s="72"/>
      <c r="T20" s="72"/>
      <c r="U20" s="72"/>
      <c r="V20" s="72"/>
      <c r="W20" s="72"/>
    </row>
    <row r="21" spans="1:23" ht="40.5" customHeight="1">
      <c r="A21" s="159" t="s">
        <v>794</v>
      </c>
      <c r="B21" s="77"/>
      <c r="C21" s="77"/>
      <c r="D21" s="77"/>
      <c r="E21" s="77"/>
      <c r="F21" s="77"/>
      <c r="G21" s="77"/>
      <c r="H21" s="77"/>
      <c r="I21" s="77"/>
      <c r="J21" s="77"/>
      <c r="K21" s="77"/>
      <c r="L21" s="77"/>
      <c r="M21" s="77"/>
      <c r="N21" s="77"/>
      <c r="O21" s="77"/>
      <c r="P21" s="77"/>
      <c r="Q21" s="77"/>
      <c r="R21" s="77"/>
      <c r="S21" s="77"/>
      <c r="T21" s="77"/>
      <c r="U21" s="77"/>
      <c r="V21" s="77"/>
      <c r="W21" s="77"/>
    </row>
    <row r="22" spans="1:23" ht="40.5" customHeight="1">
      <c r="A22" s="159" t="s">
        <v>565</v>
      </c>
      <c r="B22" s="77"/>
      <c r="C22" s="77"/>
      <c r="D22" s="77"/>
      <c r="E22" s="77"/>
      <c r="F22" s="77"/>
      <c r="G22" s="77"/>
      <c r="H22" s="77"/>
      <c r="I22" s="77"/>
      <c r="J22" s="77"/>
      <c r="K22" s="77"/>
      <c r="L22" s="77"/>
      <c r="M22" s="77"/>
      <c r="N22" s="77"/>
      <c r="O22" s="77"/>
      <c r="P22" s="77"/>
      <c r="Q22" s="77"/>
      <c r="R22" s="77"/>
      <c r="S22" s="77"/>
      <c r="T22" s="77"/>
      <c r="U22" s="77"/>
      <c r="V22" s="77"/>
      <c r="W22" s="77"/>
    </row>
    <row r="23" spans="1:23" ht="40.5" customHeight="1">
      <c r="A23" s="159" t="s">
        <v>566</v>
      </c>
      <c r="B23" s="78"/>
      <c r="C23" s="78"/>
      <c r="D23" s="78"/>
      <c r="E23" s="78"/>
      <c r="F23" s="78"/>
      <c r="G23" s="78"/>
      <c r="H23" s="78"/>
      <c r="I23" s="78"/>
      <c r="J23" s="78"/>
      <c r="K23" s="78"/>
      <c r="L23" s="78"/>
      <c r="M23" s="78"/>
      <c r="N23" s="78"/>
      <c r="O23" s="78"/>
      <c r="P23" s="78"/>
      <c r="Q23" s="78"/>
      <c r="R23" s="78"/>
      <c r="S23" s="78"/>
      <c r="T23" s="78"/>
      <c r="U23" s="78"/>
      <c r="V23" s="78"/>
      <c r="W23" s="78"/>
    </row>
    <row r="24" spans="1:23">
      <c r="A24" s="72"/>
      <c r="B24" s="72"/>
      <c r="C24" s="72"/>
      <c r="D24" s="72"/>
      <c r="E24" s="72"/>
      <c r="F24" s="72"/>
      <c r="G24" s="72"/>
      <c r="H24" s="72"/>
      <c r="I24" s="72"/>
      <c r="J24" s="72"/>
      <c r="K24" s="72"/>
      <c r="L24" s="72"/>
      <c r="M24" s="72"/>
      <c r="N24" s="72"/>
      <c r="O24" s="72"/>
      <c r="P24" s="72"/>
      <c r="Q24" s="72"/>
      <c r="R24" s="72"/>
      <c r="S24" s="72"/>
      <c r="T24" s="72"/>
      <c r="U24" s="72"/>
      <c r="V24" s="72"/>
      <c r="W24" s="72"/>
    </row>
    <row r="25" spans="1:23">
      <c r="A25" s="72"/>
      <c r="B25" s="72"/>
      <c r="C25" s="72"/>
      <c r="D25" s="72"/>
      <c r="E25" s="72"/>
      <c r="F25" s="72"/>
      <c r="G25" s="72"/>
      <c r="H25" s="72"/>
      <c r="I25" s="72"/>
      <c r="J25" s="72"/>
      <c r="K25" s="72"/>
      <c r="L25" s="72"/>
      <c r="M25" s="72"/>
      <c r="N25" s="72"/>
      <c r="O25" s="72"/>
      <c r="P25" s="72"/>
      <c r="Q25" s="72"/>
      <c r="R25" s="72"/>
      <c r="S25" s="72"/>
      <c r="T25" s="72"/>
      <c r="U25" s="72"/>
      <c r="V25" s="72"/>
      <c r="W25" s="72"/>
    </row>
    <row r="26" spans="1:23">
      <c r="A26" s="72"/>
      <c r="B26" s="72"/>
      <c r="C26" s="72"/>
      <c r="D26" s="72"/>
      <c r="E26" s="72"/>
      <c r="F26" s="72"/>
      <c r="G26" s="72"/>
      <c r="H26" s="72"/>
      <c r="I26" s="72"/>
      <c r="J26" s="72"/>
      <c r="K26" s="72"/>
      <c r="L26" s="72"/>
      <c r="M26" s="72"/>
      <c r="N26" s="72"/>
      <c r="O26" s="72"/>
      <c r="P26" s="72"/>
      <c r="Q26" s="72"/>
      <c r="R26" s="72"/>
      <c r="S26" s="72"/>
      <c r="T26" s="72"/>
      <c r="U26" s="72"/>
      <c r="V26" s="72"/>
      <c r="W26" s="72"/>
    </row>
    <row r="27" spans="1:23">
      <c r="A27" s="72"/>
      <c r="B27" s="72"/>
      <c r="C27" s="72"/>
      <c r="D27" s="72"/>
      <c r="E27" s="72"/>
      <c r="F27" s="72"/>
      <c r="G27" s="72"/>
      <c r="H27" s="72"/>
      <c r="I27" s="72"/>
      <c r="J27" s="72"/>
      <c r="K27" s="72"/>
      <c r="L27" s="72"/>
      <c r="M27" s="72"/>
      <c r="N27" s="72"/>
      <c r="O27" s="72"/>
      <c r="P27" s="72"/>
      <c r="Q27" s="72"/>
      <c r="R27" s="72"/>
      <c r="S27" s="72"/>
      <c r="T27" s="72"/>
      <c r="U27" s="72"/>
      <c r="V27" s="72"/>
      <c r="W27" s="72"/>
    </row>
    <row r="28" spans="1:23">
      <c r="A28" s="72"/>
      <c r="B28" s="72"/>
      <c r="C28" s="72"/>
      <c r="D28" s="72"/>
      <c r="E28" s="72"/>
      <c r="F28" s="72"/>
      <c r="G28" s="72"/>
      <c r="H28" s="72"/>
      <c r="I28" s="72"/>
      <c r="J28" s="72"/>
      <c r="K28" s="72"/>
      <c r="L28" s="72"/>
      <c r="M28" s="72"/>
      <c r="N28" s="72"/>
      <c r="O28" s="72"/>
      <c r="P28" s="72"/>
      <c r="Q28" s="72"/>
      <c r="R28" s="72"/>
      <c r="S28" s="72"/>
      <c r="T28" s="72"/>
      <c r="U28" s="72"/>
      <c r="V28" s="72"/>
      <c r="W28" s="72"/>
    </row>
    <row r="29" spans="1:23">
      <c r="A29" s="72"/>
      <c r="B29" s="72"/>
      <c r="C29" s="72"/>
      <c r="D29" s="72"/>
      <c r="E29" s="72"/>
      <c r="F29" s="72"/>
      <c r="G29" s="72"/>
      <c r="H29" s="72"/>
      <c r="I29" s="72"/>
      <c r="J29" s="72"/>
      <c r="K29" s="72"/>
      <c r="L29" s="72"/>
      <c r="M29" s="72"/>
      <c r="N29" s="72"/>
      <c r="O29" s="72"/>
      <c r="P29" s="72"/>
      <c r="Q29" s="72"/>
      <c r="R29" s="72"/>
      <c r="S29" s="72"/>
      <c r="T29" s="72"/>
      <c r="U29" s="72"/>
      <c r="V29" s="72"/>
      <c r="W29" s="72"/>
    </row>
    <row r="30" spans="1:23">
      <c r="A30" s="72"/>
      <c r="B30" s="72"/>
      <c r="C30" s="72"/>
      <c r="D30" s="72"/>
      <c r="E30" s="72"/>
      <c r="F30" s="72"/>
      <c r="G30" s="72"/>
      <c r="H30" s="72"/>
      <c r="I30" s="72"/>
      <c r="J30" s="72"/>
      <c r="K30" s="72"/>
      <c r="L30" s="72"/>
      <c r="M30" s="72"/>
      <c r="N30" s="72"/>
      <c r="O30" s="72"/>
      <c r="P30" s="72"/>
      <c r="Q30" s="72"/>
      <c r="R30" s="72"/>
      <c r="S30" s="72"/>
      <c r="T30" s="72"/>
      <c r="U30" s="72"/>
      <c r="V30" s="72"/>
      <c r="W30" s="72"/>
    </row>
    <row r="31" spans="1:23">
      <c r="A31" s="72"/>
      <c r="B31" s="72"/>
      <c r="C31" s="72"/>
      <c r="D31" s="72"/>
      <c r="E31" s="72"/>
      <c r="F31" s="72"/>
      <c r="G31" s="72"/>
      <c r="H31" s="72"/>
      <c r="I31" s="72"/>
      <c r="J31" s="72"/>
      <c r="K31" s="72"/>
      <c r="L31" s="72"/>
      <c r="M31" s="72"/>
      <c r="N31" s="72"/>
      <c r="O31" s="72"/>
      <c r="P31" s="72"/>
      <c r="Q31" s="72"/>
      <c r="R31" s="72"/>
      <c r="S31" s="72"/>
      <c r="T31" s="72"/>
      <c r="U31" s="72"/>
      <c r="V31" s="72"/>
      <c r="W31" s="72"/>
    </row>
  </sheetData>
  <sheetProtection selectLockedCells="1" selectUnlockedCells="1"/>
  <mergeCells count="1">
    <mergeCell ref="A3:A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7473" r:id="rId3" name="Button 86">
              <controlPr defaultSize="0" print="0" autoFill="0" autoPict="0" macro="[0]!VoirSilhouetteRes">
                <anchor moveWithCells="1" sizeWithCells="1">
                  <from>
                    <xdr:col>0</xdr:col>
                    <xdr:colOff>66675</xdr:colOff>
                    <xdr:row>15</xdr:row>
                    <xdr:rowOff>76200</xdr:rowOff>
                  </from>
                  <to>
                    <xdr:col>0</xdr:col>
                    <xdr:colOff>2295525</xdr:colOff>
                    <xdr:row>18</xdr:row>
                    <xdr:rowOff>76200</xdr:rowOff>
                  </to>
                </anchor>
              </controlPr>
            </control>
          </mc:Choice>
        </mc:AlternateContent>
        <mc:AlternateContent xmlns:mc="http://schemas.openxmlformats.org/markup-compatibility/2006">
          <mc:Choice Requires="x14">
            <control shapeId="617474" r:id="rId4" name="Button 87">
              <controlPr defaultSize="0" print="0" autoFill="0" autoPict="0" macro="[0]!Accueil">
                <anchor moveWithCells="1" sizeWithCells="1">
                  <from>
                    <xdr:col>9</xdr:col>
                    <xdr:colOff>419100</xdr:colOff>
                    <xdr:row>0</xdr:row>
                    <xdr:rowOff>114300</xdr:rowOff>
                  </from>
                  <to>
                    <xdr:col>11</xdr:col>
                    <xdr:colOff>685800</xdr:colOff>
                    <xdr:row>3</xdr:row>
                    <xdr:rowOff>104775</xdr:rowOff>
                  </to>
                </anchor>
              </controlPr>
            </control>
          </mc:Choice>
        </mc:AlternateContent>
        <mc:AlternateContent xmlns:mc="http://schemas.openxmlformats.org/markup-compatibility/2006">
          <mc:Choice Requires="x14">
            <control shapeId="617475" r:id="rId5" name="Scroll Bar 88">
              <controlPr locked="0" defaultSize="0" autoPict="0">
                <anchor moveWithCells="1">
                  <from>
                    <xdr:col>1</xdr:col>
                    <xdr:colOff>123825</xdr:colOff>
                    <xdr:row>20</xdr:row>
                    <xdr:rowOff>66675</xdr:rowOff>
                  </from>
                  <to>
                    <xdr:col>13</xdr:col>
                    <xdr:colOff>190500</xdr:colOff>
                    <xdr:row>20</xdr:row>
                    <xdr:rowOff>447675</xdr:rowOff>
                  </to>
                </anchor>
              </controlPr>
            </control>
          </mc:Choice>
        </mc:AlternateContent>
        <mc:AlternateContent xmlns:mc="http://schemas.openxmlformats.org/markup-compatibility/2006">
          <mc:Choice Requires="x14">
            <control shapeId="617476" r:id="rId6" name="Scroll Bar 89">
              <controlPr locked="0" defaultSize="0" autoPict="0">
                <anchor moveWithCells="1">
                  <from>
                    <xdr:col>1</xdr:col>
                    <xdr:colOff>123825</xdr:colOff>
                    <xdr:row>21</xdr:row>
                    <xdr:rowOff>66675</xdr:rowOff>
                  </from>
                  <to>
                    <xdr:col>13</xdr:col>
                    <xdr:colOff>190500</xdr:colOff>
                    <xdr:row>21</xdr:row>
                    <xdr:rowOff>447675</xdr:rowOff>
                  </to>
                </anchor>
              </controlPr>
            </control>
          </mc:Choice>
        </mc:AlternateContent>
        <mc:AlternateContent xmlns:mc="http://schemas.openxmlformats.org/markup-compatibility/2006">
          <mc:Choice Requires="x14">
            <control shapeId="617477" r:id="rId7" name="Scroll Bar 90">
              <controlPr locked="0" defaultSize="0" autoPict="0">
                <anchor moveWithCells="1">
                  <from>
                    <xdr:col>1</xdr:col>
                    <xdr:colOff>142875</xdr:colOff>
                    <xdr:row>22</xdr:row>
                    <xdr:rowOff>66675</xdr:rowOff>
                  </from>
                  <to>
                    <xdr:col>13</xdr:col>
                    <xdr:colOff>200025</xdr:colOff>
                    <xdr:row>22</xdr:row>
                    <xdr:rowOff>447675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2"/>
  <dimension ref="A1:Q31"/>
  <sheetViews>
    <sheetView showGridLines="0" showRowColHeaders="0" zoomScale="149" zoomScaleNormal="149" zoomScalePageLayoutView="180" workbookViewId="0">
      <selection activeCell="A21" sqref="A21"/>
    </sheetView>
  </sheetViews>
  <sheetFormatPr baseColWidth="10" defaultRowHeight="12.75"/>
  <cols>
    <col min="1" max="1" width="35.28515625" customWidth="1"/>
  </cols>
  <sheetData>
    <row r="1" spans="1:17" ht="25.5">
      <c r="A1" s="74" t="s">
        <v>567</v>
      </c>
      <c r="B1" s="72"/>
      <c r="C1" s="72"/>
      <c r="D1" s="72"/>
      <c r="E1" s="72"/>
      <c r="F1" s="72"/>
      <c r="G1" s="72"/>
      <c r="H1" s="72"/>
      <c r="I1" s="72"/>
      <c r="J1" s="72"/>
      <c r="K1" s="72"/>
      <c r="L1" s="72"/>
      <c r="M1" s="72"/>
      <c r="N1" s="72"/>
      <c r="O1" s="72"/>
      <c r="P1" s="72"/>
      <c r="Q1" s="72"/>
    </row>
    <row r="2" spans="1:17">
      <c r="A2" s="72"/>
      <c r="B2" s="72"/>
      <c r="C2" s="72"/>
      <c r="D2" s="72"/>
      <c r="E2" s="72"/>
      <c r="F2" s="72"/>
      <c r="G2" s="72"/>
      <c r="H2" s="72"/>
      <c r="I2" s="72"/>
      <c r="J2" s="72"/>
      <c r="K2" s="72"/>
      <c r="L2" s="72"/>
      <c r="M2" s="72"/>
      <c r="N2" s="72"/>
      <c r="O2" s="72"/>
      <c r="P2" s="72"/>
      <c r="Q2" s="72"/>
    </row>
    <row r="3" spans="1:17">
      <c r="A3" s="509" t="s">
        <v>575</v>
      </c>
      <c r="B3" s="72"/>
      <c r="C3" s="72"/>
      <c r="D3" s="72"/>
      <c r="E3" s="72"/>
      <c r="F3" s="72"/>
      <c r="G3" s="72"/>
      <c r="H3" s="72"/>
      <c r="I3" s="72"/>
      <c r="J3" s="72"/>
      <c r="K3" s="72"/>
      <c r="L3" s="72"/>
      <c r="M3" s="72"/>
      <c r="N3" s="72"/>
      <c r="O3" s="72"/>
      <c r="P3" s="72"/>
      <c r="Q3" s="72"/>
    </row>
    <row r="4" spans="1:17">
      <c r="A4" s="510"/>
      <c r="B4" s="72"/>
      <c r="C4" s="72"/>
      <c r="D4" s="72"/>
      <c r="E4" s="72"/>
      <c r="F4" s="72"/>
      <c r="G4" s="72"/>
      <c r="H4" s="72"/>
      <c r="I4" s="72"/>
      <c r="J4" s="72"/>
      <c r="K4" s="72"/>
      <c r="L4" s="72"/>
      <c r="M4" s="72"/>
      <c r="N4" s="72"/>
      <c r="O4" s="72"/>
      <c r="P4" s="72"/>
      <c r="Q4" s="72"/>
    </row>
    <row r="5" spans="1:17">
      <c r="A5" s="510"/>
      <c r="B5" s="72"/>
      <c r="C5" s="72"/>
      <c r="D5" s="72"/>
      <c r="E5" s="72"/>
      <c r="F5" s="72"/>
      <c r="G5" s="72"/>
      <c r="H5" s="72"/>
      <c r="I5" s="72"/>
      <c r="J5" s="72"/>
      <c r="K5" s="72"/>
      <c r="L5" s="72"/>
      <c r="M5" s="72"/>
      <c r="N5" s="72"/>
      <c r="O5" s="72"/>
      <c r="P5" s="72"/>
      <c r="Q5" s="72"/>
    </row>
    <row r="6" spans="1:17">
      <c r="A6" s="510"/>
      <c r="B6" s="72"/>
      <c r="C6" s="72"/>
      <c r="D6" s="72"/>
      <c r="E6" s="72"/>
      <c r="F6" s="72"/>
      <c r="G6" s="72"/>
      <c r="H6" s="72"/>
      <c r="I6" s="72"/>
      <c r="J6" s="72"/>
      <c r="K6" s="72"/>
      <c r="L6" s="72"/>
      <c r="M6" s="72"/>
      <c r="N6" s="72"/>
      <c r="O6" s="72"/>
      <c r="P6" s="72"/>
      <c r="Q6" s="72"/>
    </row>
    <row r="7" spans="1:17">
      <c r="A7" s="510"/>
      <c r="B7" s="72"/>
      <c r="C7" s="72"/>
      <c r="D7" s="72"/>
      <c r="E7" s="72"/>
      <c r="F7" s="72"/>
      <c r="G7" s="72"/>
      <c r="H7" s="72"/>
      <c r="I7" s="72"/>
      <c r="J7" s="72"/>
      <c r="K7" s="72"/>
      <c r="L7" s="72"/>
      <c r="M7" s="72"/>
      <c r="N7" s="72"/>
      <c r="O7" s="72"/>
      <c r="P7" s="72"/>
      <c r="Q7" s="72"/>
    </row>
    <row r="8" spans="1:17">
      <c r="A8" s="510"/>
      <c r="B8" s="72"/>
      <c r="C8" s="72"/>
      <c r="D8" s="72"/>
      <c r="E8" s="72"/>
      <c r="F8" s="72"/>
      <c r="G8" s="72"/>
      <c r="H8" s="72"/>
      <c r="I8" s="72"/>
      <c r="J8" s="72"/>
      <c r="K8" s="72"/>
      <c r="L8" s="72"/>
      <c r="M8" s="72"/>
      <c r="N8" s="72"/>
      <c r="O8" s="72"/>
      <c r="P8" s="72"/>
      <c r="Q8" s="72"/>
    </row>
    <row r="9" spans="1:17">
      <c r="A9" s="510"/>
      <c r="B9" s="72"/>
      <c r="C9" s="72"/>
      <c r="D9" s="72"/>
      <c r="E9" s="72"/>
      <c r="F9" s="72"/>
      <c r="G9" s="72"/>
      <c r="H9" s="72"/>
      <c r="I9" s="72"/>
      <c r="J9" s="72"/>
      <c r="K9" s="72"/>
      <c r="L9" s="72"/>
      <c r="M9" s="72"/>
      <c r="N9" s="72"/>
      <c r="O9" s="72"/>
      <c r="P9" s="72"/>
      <c r="Q9" s="72"/>
    </row>
    <row r="10" spans="1:17">
      <c r="A10" s="510"/>
      <c r="B10" s="72"/>
      <c r="C10" s="72"/>
      <c r="D10" s="72"/>
      <c r="E10" s="72"/>
      <c r="F10" s="72"/>
      <c r="G10" s="72"/>
      <c r="H10" s="72"/>
      <c r="I10" s="72"/>
      <c r="J10" s="72"/>
      <c r="K10" s="72"/>
      <c r="L10" s="72"/>
      <c r="M10" s="72"/>
      <c r="N10" s="72"/>
      <c r="O10" s="72"/>
      <c r="P10" s="72"/>
      <c r="Q10" s="72"/>
    </row>
    <row r="11" spans="1:17">
      <c r="A11" s="510"/>
      <c r="B11" s="72"/>
      <c r="C11" s="72"/>
      <c r="D11" s="72"/>
      <c r="E11" s="72"/>
      <c r="F11" s="72"/>
      <c r="G11" s="72"/>
      <c r="H11" s="72"/>
      <c r="I11" s="72"/>
      <c r="J11" s="72"/>
      <c r="K11" s="72"/>
      <c r="L11" s="72"/>
      <c r="M11" s="72"/>
      <c r="N11" s="72"/>
      <c r="O11" s="72"/>
      <c r="P11" s="72"/>
      <c r="Q11" s="72"/>
    </row>
    <row r="12" spans="1:17">
      <c r="A12" s="510"/>
      <c r="B12" s="72"/>
      <c r="C12" s="72"/>
      <c r="D12" s="72"/>
      <c r="E12" s="72"/>
      <c r="F12" s="72"/>
      <c r="G12" s="72"/>
      <c r="H12" s="72"/>
      <c r="I12" s="72"/>
      <c r="J12" s="72"/>
      <c r="K12" s="72"/>
      <c r="L12" s="72"/>
      <c r="M12" s="72"/>
      <c r="N12" s="72"/>
      <c r="O12" s="72"/>
      <c r="P12" s="72"/>
      <c r="Q12" s="72"/>
    </row>
    <row r="13" spans="1:17">
      <c r="A13" s="510"/>
      <c r="B13" s="72"/>
      <c r="C13" s="72"/>
      <c r="D13" s="72"/>
      <c r="E13" s="72"/>
      <c r="F13" s="72"/>
      <c r="G13" s="72"/>
      <c r="H13" s="72"/>
      <c r="I13" s="72"/>
      <c r="J13" s="72"/>
      <c r="K13" s="72"/>
      <c r="L13" s="72"/>
      <c r="M13" s="72"/>
      <c r="N13" s="72"/>
      <c r="O13" s="72"/>
      <c r="P13" s="72"/>
      <c r="Q13" s="72"/>
    </row>
    <row r="14" spans="1:17">
      <c r="A14" s="511"/>
      <c r="B14" s="72"/>
      <c r="C14" s="72"/>
      <c r="D14" s="72"/>
      <c r="E14" s="72"/>
      <c r="F14" s="72"/>
      <c r="G14" s="72"/>
      <c r="H14" s="72"/>
      <c r="I14" s="72"/>
      <c r="J14" s="72"/>
      <c r="K14" s="72"/>
      <c r="L14" s="72"/>
      <c r="M14" s="72"/>
      <c r="N14" s="72"/>
      <c r="O14" s="72"/>
      <c r="P14" s="72"/>
      <c r="Q14" s="72"/>
    </row>
    <row r="15" spans="1:17">
      <c r="A15" s="72"/>
      <c r="B15" s="72"/>
      <c r="C15" s="72"/>
      <c r="D15" s="72"/>
      <c r="E15" s="72"/>
      <c r="F15" s="72"/>
      <c r="G15" s="72"/>
      <c r="H15" s="72"/>
      <c r="I15" s="72"/>
      <c r="J15" s="72"/>
      <c r="K15" s="72"/>
      <c r="L15" s="72"/>
      <c r="M15" s="72"/>
      <c r="N15" s="72"/>
      <c r="O15" s="72"/>
      <c r="P15" s="72"/>
      <c r="Q15" s="72"/>
    </row>
    <row r="16" spans="1:17">
      <c r="A16" s="75"/>
      <c r="B16" s="72"/>
      <c r="C16" s="72"/>
      <c r="D16" s="72"/>
      <c r="E16" s="72"/>
      <c r="F16" s="72"/>
      <c r="G16" s="72"/>
      <c r="H16" s="72"/>
      <c r="I16" s="72"/>
      <c r="J16" s="72"/>
      <c r="K16" s="72"/>
      <c r="L16" s="72"/>
      <c r="M16" s="72"/>
      <c r="N16" s="72"/>
      <c r="O16" s="72"/>
      <c r="P16" s="72"/>
      <c r="Q16" s="72"/>
    </row>
    <row r="17" spans="1:17">
      <c r="A17" s="75"/>
      <c r="B17" s="72"/>
      <c r="C17" s="72"/>
      <c r="D17" s="72"/>
      <c r="E17" s="72"/>
      <c r="F17" s="72"/>
      <c r="G17" s="72"/>
      <c r="H17" s="72"/>
      <c r="I17" s="72"/>
      <c r="J17" s="72"/>
      <c r="K17" s="72"/>
      <c r="L17" s="72"/>
      <c r="M17" s="72"/>
      <c r="N17" s="72"/>
      <c r="O17" s="72"/>
      <c r="P17" s="72"/>
      <c r="Q17" s="72"/>
    </row>
    <row r="18" spans="1:17">
      <c r="A18" s="75"/>
      <c r="B18" s="72"/>
      <c r="C18" s="72"/>
      <c r="D18" s="73"/>
      <c r="E18" s="72"/>
      <c r="F18" s="72"/>
      <c r="G18" s="72"/>
      <c r="H18" s="72"/>
      <c r="I18" s="72"/>
      <c r="J18" s="72"/>
      <c r="K18" s="72"/>
      <c r="L18" s="72"/>
      <c r="M18" s="72"/>
      <c r="N18" s="72"/>
      <c r="O18" s="72"/>
      <c r="P18" s="72"/>
      <c r="Q18" s="72"/>
    </row>
    <row r="19" spans="1:17">
      <c r="A19" s="75"/>
      <c r="B19" s="72"/>
      <c r="C19" s="72"/>
      <c r="D19" s="72"/>
      <c r="E19" s="72"/>
      <c r="F19" s="72"/>
      <c r="G19" s="72"/>
      <c r="H19" s="72"/>
      <c r="I19" s="72"/>
      <c r="J19" s="72"/>
      <c r="K19" s="72"/>
      <c r="L19" s="72"/>
      <c r="M19" s="72"/>
      <c r="N19" s="72"/>
      <c r="O19" s="72"/>
      <c r="P19" s="72"/>
      <c r="Q19" s="72"/>
    </row>
    <row r="20" spans="1:17">
      <c r="A20" s="72"/>
      <c r="B20" s="72"/>
      <c r="C20" s="72"/>
      <c r="D20" s="72"/>
      <c r="E20" s="72"/>
      <c r="F20" s="72"/>
      <c r="G20" s="72"/>
      <c r="H20" s="72"/>
      <c r="I20" s="72"/>
      <c r="J20" s="72"/>
      <c r="K20" s="72"/>
      <c r="L20" s="72"/>
      <c r="M20" s="72"/>
      <c r="N20" s="72"/>
      <c r="O20" s="72"/>
      <c r="P20" s="72"/>
      <c r="Q20" s="72"/>
    </row>
    <row r="21" spans="1:17" ht="40.5" customHeight="1">
      <c r="A21" s="159" t="s">
        <v>794</v>
      </c>
      <c r="B21" s="77"/>
      <c r="C21" s="77"/>
      <c r="D21" s="77"/>
      <c r="E21" s="77"/>
      <c r="F21" s="77"/>
      <c r="G21" s="77"/>
      <c r="H21" s="77"/>
      <c r="I21" s="77"/>
      <c r="J21" s="77"/>
      <c r="K21" s="77"/>
      <c r="L21" s="77"/>
      <c r="M21" s="77"/>
      <c r="N21" s="77"/>
      <c r="O21" s="77"/>
      <c r="P21" s="77"/>
      <c r="Q21" s="77"/>
    </row>
    <row r="22" spans="1:17" ht="40.5" customHeight="1">
      <c r="A22" s="159" t="s">
        <v>565</v>
      </c>
      <c r="B22" s="77"/>
      <c r="C22" s="77"/>
      <c r="D22" s="77"/>
      <c r="E22" s="77"/>
      <c r="F22" s="77"/>
      <c r="G22" s="77"/>
      <c r="H22" s="77"/>
      <c r="I22" s="77"/>
      <c r="J22" s="77"/>
      <c r="K22" s="77"/>
      <c r="L22" s="77"/>
      <c r="M22" s="77"/>
      <c r="N22" s="77"/>
      <c r="O22" s="77"/>
      <c r="P22" s="77"/>
      <c r="Q22" s="77"/>
    </row>
    <row r="23" spans="1:17" ht="40.5" customHeight="1">
      <c r="A23" s="159" t="s">
        <v>566</v>
      </c>
      <c r="B23" s="78"/>
      <c r="C23" s="78"/>
      <c r="D23" s="78"/>
      <c r="E23" s="78"/>
      <c r="F23" s="78"/>
      <c r="G23" s="78"/>
      <c r="H23" s="78"/>
      <c r="I23" s="78"/>
      <c r="J23" s="78"/>
      <c r="K23" s="78"/>
      <c r="L23" s="78"/>
      <c r="M23" s="78"/>
      <c r="N23" s="78"/>
      <c r="O23" s="78"/>
      <c r="P23" s="78"/>
      <c r="Q23" s="78"/>
    </row>
    <row r="24" spans="1:17">
      <c r="A24" s="72"/>
      <c r="B24" s="72"/>
      <c r="C24" s="72"/>
      <c r="D24" s="72"/>
      <c r="E24" s="72"/>
      <c r="F24" s="72"/>
      <c r="G24" s="72"/>
      <c r="H24" s="72"/>
      <c r="I24" s="72"/>
      <c r="J24" s="72"/>
      <c r="K24" s="72"/>
      <c r="L24" s="72"/>
      <c r="M24" s="72"/>
      <c r="N24" s="72"/>
      <c r="O24" s="72"/>
      <c r="P24" s="72"/>
      <c r="Q24" s="72"/>
    </row>
    <row r="25" spans="1:17">
      <c r="A25" s="72"/>
      <c r="B25" s="72"/>
      <c r="C25" s="72"/>
      <c r="D25" s="72"/>
      <c r="E25" s="72"/>
      <c r="F25" s="72"/>
      <c r="G25" s="72"/>
      <c r="H25" s="72"/>
      <c r="I25" s="72"/>
      <c r="J25" s="72"/>
      <c r="K25" s="72"/>
      <c r="L25" s="72"/>
      <c r="M25" s="72"/>
      <c r="N25" s="72"/>
      <c r="O25" s="72"/>
      <c r="P25" s="72"/>
      <c r="Q25" s="72"/>
    </row>
    <row r="26" spans="1:17">
      <c r="A26" s="72"/>
      <c r="B26" s="72"/>
      <c r="C26" s="72"/>
      <c r="D26" s="72"/>
      <c r="E26" s="72"/>
      <c r="F26" s="72"/>
      <c r="G26" s="72"/>
      <c r="H26" s="72"/>
      <c r="I26" s="72"/>
      <c r="J26" s="72"/>
      <c r="K26" s="72"/>
      <c r="L26" s="72"/>
      <c r="M26" s="72"/>
      <c r="N26" s="72"/>
      <c r="O26" s="72"/>
      <c r="P26" s="72"/>
      <c r="Q26" s="72"/>
    </row>
    <row r="27" spans="1:17">
      <c r="A27" s="72"/>
      <c r="B27" s="72"/>
      <c r="C27" s="72"/>
      <c r="D27" s="72"/>
      <c r="E27" s="72"/>
      <c r="F27" s="72"/>
      <c r="G27" s="72"/>
      <c r="H27" s="72"/>
      <c r="I27" s="72"/>
      <c r="J27" s="72"/>
      <c r="K27" s="72"/>
      <c r="L27" s="72"/>
      <c r="M27" s="72"/>
      <c r="N27" s="72"/>
      <c r="O27" s="72"/>
      <c r="P27" s="72"/>
      <c r="Q27" s="72"/>
    </row>
    <row r="28" spans="1:17">
      <c r="A28" s="72"/>
      <c r="B28" s="72"/>
      <c r="C28" s="72"/>
      <c r="D28" s="72"/>
      <c r="E28" s="72"/>
      <c r="F28" s="72"/>
      <c r="G28" s="72"/>
      <c r="H28" s="72"/>
      <c r="I28" s="72"/>
      <c r="J28" s="72"/>
      <c r="K28" s="72"/>
      <c r="L28" s="72"/>
      <c r="M28" s="72"/>
      <c r="N28" s="72"/>
      <c r="O28" s="72"/>
      <c r="P28" s="72"/>
      <c r="Q28" s="72"/>
    </row>
    <row r="29" spans="1:17">
      <c r="A29" s="72"/>
      <c r="B29" s="72"/>
      <c r="C29" s="72"/>
      <c r="D29" s="72"/>
      <c r="E29" s="72"/>
      <c r="F29" s="72"/>
      <c r="G29" s="72"/>
      <c r="H29" s="72"/>
      <c r="I29" s="72"/>
      <c r="J29" s="72"/>
      <c r="K29" s="72"/>
      <c r="L29" s="72"/>
      <c r="M29" s="72"/>
      <c r="N29" s="72"/>
      <c r="O29" s="72"/>
      <c r="P29" s="72"/>
      <c r="Q29" s="72"/>
    </row>
    <row r="30" spans="1:17">
      <c r="A30" s="72"/>
      <c r="B30" s="72"/>
      <c r="C30" s="72"/>
      <c r="D30" s="72"/>
      <c r="E30" s="72"/>
      <c r="F30" s="72"/>
      <c r="G30" s="72"/>
      <c r="H30" s="72"/>
      <c r="I30" s="72"/>
      <c r="J30" s="72"/>
      <c r="K30" s="72"/>
      <c r="L30" s="72"/>
      <c r="M30" s="72"/>
      <c r="N30" s="72"/>
      <c r="O30" s="72"/>
      <c r="P30" s="72"/>
      <c r="Q30" s="72"/>
    </row>
    <row r="31" spans="1:17">
      <c r="A31" s="72"/>
      <c r="B31" s="72"/>
      <c r="C31" s="72"/>
      <c r="D31" s="72"/>
      <c r="E31" s="72"/>
      <c r="F31" s="72"/>
      <c r="G31" s="72"/>
      <c r="H31" s="72"/>
      <c r="I31" s="72"/>
      <c r="J31" s="72"/>
      <c r="K31" s="72"/>
      <c r="L31" s="72"/>
      <c r="M31" s="72"/>
      <c r="N31" s="72"/>
      <c r="O31" s="72"/>
      <c r="P31" s="72"/>
      <c r="Q31" s="72"/>
    </row>
  </sheetData>
  <sheetProtection selectLockedCells="1" selectUnlockedCells="1"/>
  <mergeCells count="1">
    <mergeCell ref="A3:A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21607" r:id="rId3" name="Button 86">
              <controlPr defaultSize="0" print="0" autoFill="0" autoPict="0" macro="[0]!VoirSilhouetteRes">
                <anchor moveWithCells="1" sizeWithCells="1">
                  <from>
                    <xdr:col>0</xdr:col>
                    <xdr:colOff>66675</xdr:colOff>
                    <xdr:row>15</xdr:row>
                    <xdr:rowOff>76200</xdr:rowOff>
                  </from>
                  <to>
                    <xdr:col>0</xdr:col>
                    <xdr:colOff>2286000</xdr:colOff>
                    <xdr:row>18</xdr:row>
                    <xdr:rowOff>76200</xdr:rowOff>
                  </to>
                </anchor>
              </controlPr>
            </control>
          </mc:Choice>
        </mc:AlternateContent>
        <mc:AlternateContent xmlns:mc="http://schemas.openxmlformats.org/markup-compatibility/2006">
          <mc:Choice Requires="x14">
            <control shapeId="621608" r:id="rId4" name="Button 87">
              <controlPr defaultSize="0" print="0" autoFill="0" autoPict="0" macro="[0]!Accueil">
                <anchor moveWithCells="1" sizeWithCells="1">
                  <from>
                    <xdr:col>9</xdr:col>
                    <xdr:colOff>419100</xdr:colOff>
                    <xdr:row>0</xdr:row>
                    <xdr:rowOff>114300</xdr:rowOff>
                  </from>
                  <to>
                    <xdr:col>11</xdr:col>
                    <xdr:colOff>685800</xdr:colOff>
                    <xdr:row>3</xdr:row>
                    <xdr:rowOff>104775</xdr:rowOff>
                  </to>
                </anchor>
              </controlPr>
            </control>
          </mc:Choice>
        </mc:AlternateContent>
        <mc:AlternateContent xmlns:mc="http://schemas.openxmlformats.org/markup-compatibility/2006">
          <mc:Choice Requires="x14">
            <control shapeId="621609" r:id="rId5" name="Scroll Bar 88">
              <controlPr locked="0" defaultSize="0" autoPict="0">
                <anchor moveWithCells="1">
                  <from>
                    <xdr:col>1</xdr:col>
                    <xdr:colOff>123825</xdr:colOff>
                    <xdr:row>20</xdr:row>
                    <xdr:rowOff>66675</xdr:rowOff>
                  </from>
                  <to>
                    <xdr:col>13</xdr:col>
                    <xdr:colOff>190500</xdr:colOff>
                    <xdr:row>20</xdr:row>
                    <xdr:rowOff>466725</xdr:rowOff>
                  </to>
                </anchor>
              </controlPr>
            </control>
          </mc:Choice>
        </mc:AlternateContent>
        <mc:AlternateContent xmlns:mc="http://schemas.openxmlformats.org/markup-compatibility/2006">
          <mc:Choice Requires="x14">
            <control shapeId="621610" r:id="rId6" name="Scroll Bar 89">
              <controlPr locked="0" defaultSize="0" autoPict="0">
                <anchor moveWithCells="1">
                  <from>
                    <xdr:col>1</xdr:col>
                    <xdr:colOff>123825</xdr:colOff>
                    <xdr:row>21</xdr:row>
                    <xdr:rowOff>66675</xdr:rowOff>
                  </from>
                  <to>
                    <xdr:col>13</xdr:col>
                    <xdr:colOff>190500</xdr:colOff>
                    <xdr:row>21</xdr:row>
                    <xdr:rowOff>457200</xdr:rowOff>
                  </to>
                </anchor>
              </controlPr>
            </control>
          </mc:Choice>
        </mc:AlternateContent>
        <mc:AlternateContent xmlns:mc="http://schemas.openxmlformats.org/markup-compatibility/2006">
          <mc:Choice Requires="x14">
            <control shapeId="621611" r:id="rId7" name="Scroll Bar 90">
              <controlPr locked="0" defaultSize="0" autoPict="0">
                <anchor moveWithCells="1">
                  <from>
                    <xdr:col>1</xdr:col>
                    <xdr:colOff>142875</xdr:colOff>
                    <xdr:row>22</xdr:row>
                    <xdr:rowOff>66675</xdr:rowOff>
                  </from>
                  <to>
                    <xdr:col>13</xdr:col>
                    <xdr:colOff>200025</xdr:colOff>
                    <xdr:row>22</xdr:row>
                    <xdr:rowOff>457200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11">
    <pageSetUpPr fitToPage="1"/>
  </sheetPr>
  <dimension ref="A1:M367"/>
  <sheetViews>
    <sheetView showGridLines="0" showRowColHeaders="0" zoomScale="91" zoomScaleNormal="91" workbookViewId="0"/>
  </sheetViews>
  <sheetFormatPr baseColWidth="10" defaultColWidth="11.28515625" defaultRowHeight="12.75"/>
  <cols>
    <col min="1" max="1" width="11.28515625" style="269"/>
    <col min="2" max="2" width="11.28515625" style="270" customWidth="1"/>
    <col min="3" max="8" width="11.28515625" style="271"/>
    <col min="9" max="9" width="14.7109375" style="270" bestFit="1" customWidth="1"/>
    <col min="10" max="10" width="20" style="328" bestFit="1" customWidth="1"/>
    <col min="11" max="11" width="11.28515625" style="269"/>
    <col min="12" max="12" width="26.7109375" style="271" customWidth="1"/>
    <col min="13" max="13" width="11.28515625" style="270"/>
    <col min="14" max="16384" width="11.28515625" style="271"/>
  </cols>
  <sheetData>
    <row r="1" spans="1:13" s="326" customFormat="1">
      <c r="A1" s="262" t="s">
        <v>112</v>
      </c>
      <c r="B1" s="263" t="str">
        <f>IF(ISBLANK(Accueil!B8),"sujet",(Accueil!B8))</f>
        <v xml:space="preserve"> </v>
      </c>
      <c r="C1" s="264" t="s">
        <v>652</v>
      </c>
      <c r="D1" s="264" t="s">
        <v>423</v>
      </c>
      <c r="E1" s="264" t="s">
        <v>795</v>
      </c>
      <c r="F1" s="264" t="s">
        <v>424</v>
      </c>
      <c r="G1" s="264" t="s">
        <v>796</v>
      </c>
      <c r="H1" s="264" t="s">
        <v>797</v>
      </c>
      <c r="I1" s="263"/>
      <c r="J1" s="324"/>
      <c r="K1" s="262"/>
      <c r="L1" s="263"/>
      <c r="M1" s="325"/>
    </row>
    <row r="2" spans="1:13">
      <c r="A2" s="265">
        <f>Accueil!B3</f>
        <v>45337.840324074074</v>
      </c>
      <c r="B2" s="266">
        <f>Accueil!E3</f>
        <v>0</v>
      </c>
      <c r="C2" s="267" t="e">
        <f>HLOOKUP(A2,'Courbe In'!$AA$2:$CD$3,2)</f>
        <v>#VALUE!</v>
      </c>
      <c r="D2" s="267" t="e">
        <f ca="1">HLOOKUP(A2,'Courbe In'!$AA$2:$CD$7,5)</f>
        <v>#VALUE!</v>
      </c>
      <c r="E2" s="267" t="e">
        <f>HLOOKUP(A2,'Courbe In'!$AA$2:$CD$7,4)</f>
        <v>#VALUE!</v>
      </c>
      <c r="F2" s="267" t="e">
        <f ca="1">HLOOKUP(A2,'Courbe In'!$AA$2:$CD$7,6)</f>
        <v>#VALUE!</v>
      </c>
      <c r="G2" s="267" t="e">
        <f>HLOOKUP(A2,'Courbe In'!$AA$2:$CD$8,7)</f>
        <v>#VALUE!</v>
      </c>
      <c r="H2" s="267" t="e">
        <f>HLOOKUP(A2,'Courbe In'!$AA$2:$CD$9,8)</f>
        <v>#VALUE!</v>
      </c>
      <c r="I2" s="266"/>
      <c r="J2" s="327"/>
      <c r="K2" s="268"/>
      <c r="L2" s="327"/>
    </row>
    <row r="3" spans="1:13">
      <c r="A3" s="265">
        <f>A2+1</f>
        <v>45338.840324074074</v>
      </c>
      <c r="B3" s="266"/>
      <c r="C3" s="267" t="e">
        <f>HLOOKUP(A3,'Courbe In'!$AA$2:$CD$3,2)</f>
        <v>#VALUE!</v>
      </c>
      <c r="D3" s="267" t="e">
        <f ca="1">HLOOKUP(A3,'Courbe In'!$AA$2:$CD$7,5)</f>
        <v>#VALUE!</v>
      </c>
      <c r="E3" s="267" t="e">
        <f>HLOOKUP(A3,'Courbe In'!$AA$2:$CD$7,4)</f>
        <v>#VALUE!</v>
      </c>
      <c r="F3" s="267" t="e">
        <f ca="1">HLOOKUP(A3,'Courbe In'!$AA$2:$CD$7,6)</f>
        <v>#VALUE!</v>
      </c>
      <c r="G3" s="267" t="e">
        <f>HLOOKUP(A3,'Courbe In'!$AA$2:$CD$8,7)</f>
        <v>#VALUE!</v>
      </c>
      <c r="H3" s="267" t="e">
        <f>HLOOKUP(A3,'Courbe In'!$AA$2:$CD$9,8)</f>
        <v>#VALUE!</v>
      </c>
      <c r="I3" s="266"/>
      <c r="J3" s="327"/>
      <c r="K3" s="268"/>
      <c r="L3" s="267"/>
    </row>
    <row r="4" spans="1:13">
      <c r="A4" s="265">
        <f t="shared" ref="A4:A67" si="0">A3+1</f>
        <v>45339.840324074074</v>
      </c>
      <c r="B4" s="266"/>
      <c r="C4" s="267" t="e">
        <f>HLOOKUP(A4,'Courbe In'!$AA$2:$CD$3,2)</f>
        <v>#VALUE!</v>
      </c>
      <c r="D4" s="267" t="e">
        <f ca="1">HLOOKUP(A4,'Courbe In'!$AA$2:$CD$7,5)</f>
        <v>#VALUE!</v>
      </c>
      <c r="E4" s="267" t="e">
        <f>HLOOKUP(A4,'Courbe In'!$AA$2:$CD$7,4)</f>
        <v>#VALUE!</v>
      </c>
      <c r="F4" s="267" t="e">
        <f ca="1">HLOOKUP(A4,'Courbe In'!$AA$2:$CD$7,6)</f>
        <v>#VALUE!</v>
      </c>
      <c r="G4" s="267" t="e">
        <f>HLOOKUP(A4,'Courbe In'!$AA$2:$CD$8,7)</f>
        <v>#VALUE!</v>
      </c>
      <c r="H4" s="267" t="e">
        <f>HLOOKUP(A4,'Courbe In'!$AA$2:$CD$9,8)</f>
        <v>#VALUE!</v>
      </c>
      <c r="I4" s="266"/>
      <c r="J4" s="327"/>
      <c r="K4" s="268"/>
      <c r="L4" s="267"/>
    </row>
    <row r="5" spans="1:13">
      <c r="A5" s="265">
        <f t="shared" si="0"/>
        <v>45340.840324074074</v>
      </c>
      <c r="B5" s="266"/>
      <c r="C5" s="267" t="e">
        <f>HLOOKUP(A5,'Courbe In'!$AA$2:$CD$3,2)</f>
        <v>#VALUE!</v>
      </c>
      <c r="D5" s="267" t="e">
        <f ca="1">HLOOKUP(A5,'Courbe In'!$AA$2:$CD$7,5)</f>
        <v>#VALUE!</v>
      </c>
      <c r="E5" s="267" t="e">
        <f>HLOOKUP(A5,'Courbe In'!$AA$2:$CD$7,4)</f>
        <v>#VALUE!</v>
      </c>
      <c r="F5" s="267" t="e">
        <f ca="1">HLOOKUP(A5,'Courbe In'!$AA$2:$CD$7,6)</f>
        <v>#VALUE!</v>
      </c>
      <c r="G5" s="267" t="e">
        <f>HLOOKUP(A5,'Courbe In'!$AA$2:$CD$8,7)</f>
        <v>#VALUE!</v>
      </c>
      <c r="H5" s="267" t="e">
        <f>HLOOKUP(A5,'Courbe In'!$AA$2:$CD$9,8)</f>
        <v>#VALUE!</v>
      </c>
      <c r="I5" s="266"/>
      <c r="J5" s="327"/>
      <c r="K5" s="268"/>
      <c r="L5" s="267"/>
    </row>
    <row r="6" spans="1:13">
      <c r="A6" s="265">
        <f t="shared" si="0"/>
        <v>45341.840324074074</v>
      </c>
      <c r="B6" s="266"/>
      <c r="C6" s="267" t="e">
        <f>HLOOKUP(A6,'Courbe In'!$AA$2:$CD$3,2)</f>
        <v>#VALUE!</v>
      </c>
      <c r="D6" s="267" t="e">
        <f ca="1">HLOOKUP(A6,'Courbe In'!$AA$2:$CD$7,5)</f>
        <v>#VALUE!</v>
      </c>
      <c r="E6" s="267" t="e">
        <f>HLOOKUP(A6,'Courbe In'!$AA$2:$CD$7,4)</f>
        <v>#VALUE!</v>
      </c>
      <c r="F6" s="267" t="e">
        <f ca="1">HLOOKUP(A6,'Courbe In'!$AA$2:$CD$7,6)</f>
        <v>#VALUE!</v>
      </c>
      <c r="G6" s="267" t="e">
        <f>HLOOKUP(A6,'Courbe In'!$AA$2:$CD$8,7)</f>
        <v>#VALUE!</v>
      </c>
      <c r="H6" s="267" t="e">
        <f>HLOOKUP(A6,'Courbe In'!$AA$2:$CD$9,8)</f>
        <v>#VALUE!</v>
      </c>
      <c r="I6" s="266"/>
      <c r="J6" s="327"/>
      <c r="K6" s="268"/>
      <c r="L6" s="267"/>
    </row>
    <row r="7" spans="1:13">
      <c r="A7" s="265">
        <f t="shared" si="0"/>
        <v>45342.840324074074</v>
      </c>
      <c r="B7" s="266"/>
      <c r="C7" s="267" t="e">
        <f>HLOOKUP(A7,'Courbe In'!$AA$2:$CD$3,2)</f>
        <v>#VALUE!</v>
      </c>
      <c r="D7" s="267" t="e">
        <f ca="1">HLOOKUP(A7,'Courbe In'!$AA$2:$CD$7,5)</f>
        <v>#VALUE!</v>
      </c>
      <c r="E7" s="267" t="e">
        <f>HLOOKUP(A7,'Courbe In'!$AA$2:$CD$7,4)</f>
        <v>#VALUE!</v>
      </c>
      <c r="F7" s="267" t="e">
        <f ca="1">HLOOKUP(A7,'Courbe In'!$AA$2:$CD$7,6)</f>
        <v>#VALUE!</v>
      </c>
      <c r="G7" s="267" t="e">
        <f>HLOOKUP(A7,'Courbe In'!$AA$2:$CD$8,7)</f>
        <v>#VALUE!</v>
      </c>
      <c r="H7" s="267" t="e">
        <f>HLOOKUP(A7,'Courbe In'!$AA$2:$CD$9,8)</f>
        <v>#VALUE!</v>
      </c>
      <c r="I7" s="266"/>
      <c r="J7" s="327"/>
      <c r="K7" s="268"/>
      <c r="L7" s="267"/>
    </row>
    <row r="8" spans="1:13">
      <c r="A8" s="265">
        <f t="shared" si="0"/>
        <v>45343.840324074074</v>
      </c>
      <c r="B8" s="266"/>
      <c r="C8" s="267" t="e">
        <f>HLOOKUP(A8,'Courbe In'!$AA$2:$CD$3,2)</f>
        <v>#VALUE!</v>
      </c>
      <c r="D8" s="267" t="e">
        <f ca="1">HLOOKUP(A8,'Courbe In'!$AA$2:$CD$7,5)</f>
        <v>#VALUE!</v>
      </c>
      <c r="E8" s="267" t="e">
        <f>HLOOKUP(A8,'Courbe In'!$AA$2:$CD$7,4)</f>
        <v>#VALUE!</v>
      </c>
      <c r="F8" s="267" t="e">
        <f ca="1">HLOOKUP(A8,'Courbe In'!$AA$2:$CD$7,6)</f>
        <v>#VALUE!</v>
      </c>
      <c r="G8" s="267" t="e">
        <f>HLOOKUP(A8,'Courbe In'!$AA$2:$CD$8,7)</f>
        <v>#VALUE!</v>
      </c>
      <c r="H8" s="267" t="e">
        <f>HLOOKUP(A8,'Courbe In'!$AA$2:$CD$9,8)</f>
        <v>#VALUE!</v>
      </c>
      <c r="I8" s="266"/>
      <c r="J8" s="327"/>
      <c r="K8" s="268"/>
      <c r="L8" s="267"/>
    </row>
    <row r="9" spans="1:13">
      <c r="A9" s="265">
        <f t="shared" si="0"/>
        <v>45344.840324074074</v>
      </c>
      <c r="B9" s="266"/>
      <c r="C9" s="267" t="e">
        <f>HLOOKUP(A9,'Courbe In'!$AA$2:$CD$3,2)</f>
        <v>#VALUE!</v>
      </c>
      <c r="D9" s="267" t="e">
        <f ca="1">HLOOKUP(A9,'Courbe In'!$AA$2:$CD$7,5)</f>
        <v>#VALUE!</v>
      </c>
      <c r="E9" s="267" t="e">
        <f>HLOOKUP(A9,'Courbe In'!$AA$2:$CD$7,4)</f>
        <v>#VALUE!</v>
      </c>
      <c r="F9" s="267" t="e">
        <f ca="1">HLOOKUP(A9,'Courbe In'!$AA$2:$CD$7,6)</f>
        <v>#VALUE!</v>
      </c>
      <c r="G9" s="267" t="e">
        <f>HLOOKUP(A9,'Courbe In'!$AA$2:$CD$8,7)</f>
        <v>#VALUE!</v>
      </c>
      <c r="H9" s="267" t="e">
        <f>HLOOKUP(A9,'Courbe In'!$AA$2:$CD$9,8)</f>
        <v>#VALUE!</v>
      </c>
      <c r="I9" s="266"/>
      <c r="J9" s="327"/>
      <c r="K9" s="268"/>
      <c r="L9" s="267"/>
    </row>
    <row r="10" spans="1:13">
      <c r="A10" s="265">
        <f t="shared" si="0"/>
        <v>45345.840324074074</v>
      </c>
      <c r="B10" s="266"/>
      <c r="C10" s="267" t="e">
        <f>HLOOKUP(A10,'Courbe In'!$AA$2:$CD$3,2)</f>
        <v>#VALUE!</v>
      </c>
      <c r="D10" s="267" t="e">
        <f ca="1">HLOOKUP(A10,'Courbe In'!$AA$2:$CD$7,5)</f>
        <v>#VALUE!</v>
      </c>
      <c r="E10" s="267" t="e">
        <f>HLOOKUP(A10,'Courbe In'!$AA$2:$CD$7,4)</f>
        <v>#VALUE!</v>
      </c>
      <c r="F10" s="267" t="e">
        <f ca="1">HLOOKUP(A10,'Courbe In'!$AA$2:$CD$7,6)</f>
        <v>#VALUE!</v>
      </c>
      <c r="G10" s="267" t="e">
        <f>HLOOKUP(A10,'Courbe In'!$AA$2:$CD$8,7)</f>
        <v>#VALUE!</v>
      </c>
      <c r="H10" s="267" t="e">
        <f>HLOOKUP(A10,'Courbe In'!$AA$2:$CD$9,8)</f>
        <v>#VALUE!</v>
      </c>
      <c r="I10" s="266"/>
      <c r="J10" s="327"/>
      <c r="K10" s="268"/>
      <c r="L10" s="267"/>
    </row>
    <row r="11" spans="1:13">
      <c r="A11" s="265">
        <f t="shared" si="0"/>
        <v>45346.840324074074</v>
      </c>
      <c r="B11" s="266"/>
      <c r="C11" s="267" t="e">
        <f>HLOOKUP(A11,'Courbe In'!$AA$2:$CD$3,2)</f>
        <v>#VALUE!</v>
      </c>
      <c r="D11" s="267" t="e">
        <f ca="1">HLOOKUP(A11,'Courbe In'!$AA$2:$CD$7,5)</f>
        <v>#VALUE!</v>
      </c>
      <c r="E11" s="267" t="e">
        <f>HLOOKUP(A11,'Courbe In'!$AA$2:$CD$7,4)</f>
        <v>#VALUE!</v>
      </c>
      <c r="F11" s="267" t="e">
        <f ca="1">HLOOKUP(A11,'Courbe In'!$AA$2:$CD$7,6)</f>
        <v>#VALUE!</v>
      </c>
      <c r="G11" s="267" t="e">
        <f>HLOOKUP(A11,'Courbe In'!$AA$2:$CD$8,7)</f>
        <v>#VALUE!</v>
      </c>
      <c r="H11" s="267" t="e">
        <f>HLOOKUP(A11,'Courbe In'!$AA$2:$CD$9,8)</f>
        <v>#VALUE!</v>
      </c>
      <c r="I11" s="266"/>
      <c r="J11" s="327"/>
      <c r="K11" s="268"/>
      <c r="L11" s="267"/>
    </row>
    <row r="12" spans="1:13">
      <c r="A12" s="265">
        <f t="shared" si="0"/>
        <v>45347.840324074074</v>
      </c>
      <c r="B12" s="266"/>
      <c r="C12" s="267" t="e">
        <f>HLOOKUP(A12,'Courbe In'!$AA$2:$CD$3,2)</f>
        <v>#VALUE!</v>
      </c>
      <c r="D12" s="267" t="e">
        <f ca="1">HLOOKUP(A12,'Courbe In'!$AA$2:$CD$7,5)</f>
        <v>#VALUE!</v>
      </c>
      <c r="E12" s="267" t="e">
        <f>HLOOKUP(A12,'Courbe In'!$AA$2:$CD$7,4)</f>
        <v>#VALUE!</v>
      </c>
      <c r="F12" s="267" t="e">
        <f ca="1">HLOOKUP(A12,'Courbe In'!$AA$2:$CD$7,6)</f>
        <v>#VALUE!</v>
      </c>
      <c r="G12" s="267" t="e">
        <f>HLOOKUP(A12,'Courbe In'!$AA$2:$CD$8,7)</f>
        <v>#VALUE!</v>
      </c>
      <c r="H12" s="267" t="e">
        <f>HLOOKUP(A12,'Courbe In'!$AA$2:$CD$9,8)</f>
        <v>#VALUE!</v>
      </c>
      <c r="I12" s="266"/>
      <c r="J12" s="327"/>
      <c r="K12" s="268"/>
      <c r="L12" s="267"/>
    </row>
    <row r="13" spans="1:13">
      <c r="A13" s="265">
        <f t="shared" si="0"/>
        <v>45348.840324074074</v>
      </c>
      <c r="B13" s="266"/>
      <c r="C13" s="267" t="e">
        <f>HLOOKUP(A13,'Courbe In'!$AA$2:$CD$3,2)</f>
        <v>#VALUE!</v>
      </c>
      <c r="D13" s="267" t="e">
        <f ca="1">HLOOKUP(A13,'Courbe In'!$AA$2:$CD$7,5)</f>
        <v>#VALUE!</v>
      </c>
      <c r="E13" s="267" t="e">
        <f>HLOOKUP(A13,'Courbe In'!$AA$2:$CD$7,4)</f>
        <v>#VALUE!</v>
      </c>
      <c r="F13" s="267" t="e">
        <f ca="1">HLOOKUP(A13,'Courbe In'!$AA$2:$CD$7,6)</f>
        <v>#VALUE!</v>
      </c>
      <c r="G13" s="267" t="e">
        <f>HLOOKUP(A13,'Courbe In'!$AA$2:$CD$8,7)</f>
        <v>#VALUE!</v>
      </c>
      <c r="H13" s="267" t="e">
        <f>HLOOKUP(A13,'Courbe In'!$AA$2:$CD$9,8)</f>
        <v>#VALUE!</v>
      </c>
      <c r="I13" s="266"/>
      <c r="J13" s="327"/>
      <c r="K13" s="268"/>
      <c r="L13" s="267"/>
    </row>
    <row r="14" spans="1:13">
      <c r="A14" s="265">
        <f t="shared" si="0"/>
        <v>45349.840324074074</v>
      </c>
      <c r="B14" s="266"/>
      <c r="C14" s="267" t="e">
        <f>HLOOKUP(A14,'Courbe In'!$AA$2:$CD$3,2)</f>
        <v>#VALUE!</v>
      </c>
      <c r="D14" s="267" t="e">
        <f ca="1">HLOOKUP(A14,'Courbe In'!$AA$2:$CD$7,5)</f>
        <v>#VALUE!</v>
      </c>
      <c r="E14" s="267" t="e">
        <f>HLOOKUP(A14,'Courbe In'!$AA$2:$CD$7,4)</f>
        <v>#VALUE!</v>
      </c>
      <c r="F14" s="267" t="e">
        <f ca="1">HLOOKUP(A14,'Courbe In'!$AA$2:$CD$7,6)</f>
        <v>#VALUE!</v>
      </c>
      <c r="G14" s="267" t="e">
        <f>HLOOKUP(A14,'Courbe In'!$AA$2:$CD$8,7)</f>
        <v>#VALUE!</v>
      </c>
      <c r="H14" s="267" t="e">
        <f>HLOOKUP(A14,'Courbe In'!$AA$2:$CD$9,8)</f>
        <v>#VALUE!</v>
      </c>
      <c r="I14" s="266"/>
      <c r="J14" s="327"/>
      <c r="K14" s="268"/>
      <c r="L14" s="267"/>
    </row>
    <row r="15" spans="1:13">
      <c r="A15" s="265">
        <f t="shared" si="0"/>
        <v>45350.840324074074</v>
      </c>
      <c r="B15" s="266"/>
      <c r="C15" s="267" t="e">
        <f>HLOOKUP(A15,'Courbe In'!$AA$2:$CD$3,2)</f>
        <v>#VALUE!</v>
      </c>
      <c r="D15" s="267" t="e">
        <f ca="1">HLOOKUP(A15,'Courbe In'!$AA$2:$CD$7,5)</f>
        <v>#VALUE!</v>
      </c>
      <c r="E15" s="267" t="e">
        <f>HLOOKUP(A15,'Courbe In'!$AA$2:$CD$7,4)</f>
        <v>#VALUE!</v>
      </c>
      <c r="F15" s="267" t="e">
        <f ca="1">HLOOKUP(A15,'Courbe In'!$AA$2:$CD$7,6)</f>
        <v>#VALUE!</v>
      </c>
      <c r="G15" s="267" t="e">
        <f>HLOOKUP(A15,'Courbe In'!$AA$2:$CD$8,7)</f>
        <v>#VALUE!</v>
      </c>
      <c r="H15" s="267" t="e">
        <f>HLOOKUP(A15,'Courbe In'!$AA$2:$CD$9,8)</f>
        <v>#VALUE!</v>
      </c>
      <c r="I15" s="266"/>
      <c r="J15" s="327"/>
      <c r="K15" s="268"/>
      <c r="L15" s="267"/>
    </row>
    <row r="16" spans="1:13">
      <c r="A16" s="265">
        <f t="shared" si="0"/>
        <v>45351.840324074074</v>
      </c>
      <c r="B16" s="266"/>
      <c r="C16" s="267" t="e">
        <f>HLOOKUP(A16,'Courbe In'!$AA$2:$CD$3,2)</f>
        <v>#VALUE!</v>
      </c>
      <c r="D16" s="267" t="e">
        <f ca="1">HLOOKUP(A16,'Courbe In'!$AA$2:$CD$7,5)</f>
        <v>#VALUE!</v>
      </c>
      <c r="E16" s="267" t="e">
        <f>HLOOKUP(A16,'Courbe In'!$AA$2:$CD$7,4)</f>
        <v>#VALUE!</v>
      </c>
      <c r="F16" s="267" t="e">
        <f ca="1">HLOOKUP(A16,'Courbe In'!$AA$2:$CD$7,6)</f>
        <v>#VALUE!</v>
      </c>
      <c r="G16" s="267" t="e">
        <f>HLOOKUP(A16,'Courbe In'!$AA$2:$CD$8,7)</f>
        <v>#VALUE!</v>
      </c>
      <c r="H16" s="267" t="e">
        <f>HLOOKUP(A16,'Courbe In'!$AA$2:$CD$9,8)</f>
        <v>#VALUE!</v>
      </c>
      <c r="I16" s="266"/>
      <c r="J16" s="327"/>
      <c r="K16" s="268"/>
      <c r="L16" s="267"/>
    </row>
    <row r="17" spans="1:12">
      <c r="A17" s="265">
        <f t="shared" si="0"/>
        <v>45352.840324074074</v>
      </c>
      <c r="B17" s="266"/>
      <c r="C17" s="267" t="e">
        <f>HLOOKUP(A17,'Courbe In'!$AA$2:$CD$3,2)</f>
        <v>#VALUE!</v>
      </c>
      <c r="D17" s="267" t="e">
        <f ca="1">HLOOKUP(A17,'Courbe In'!$AA$2:$CD$7,5)</f>
        <v>#VALUE!</v>
      </c>
      <c r="E17" s="267" t="e">
        <f>HLOOKUP(A17,'Courbe In'!$AA$2:$CD$7,4)</f>
        <v>#VALUE!</v>
      </c>
      <c r="F17" s="267" t="e">
        <f ca="1">HLOOKUP(A17,'Courbe In'!$AA$2:$CD$7,6)</f>
        <v>#VALUE!</v>
      </c>
      <c r="G17" s="267" t="e">
        <f>HLOOKUP(A17,'Courbe In'!$AA$2:$CD$8,7)</f>
        <v>#VALUE!</v>
      </c>
      <c r="H17" s="267" t="e">
        <f>HLOOKUP(A17,'Courbe In'!$AA$2:$CD$9,8)</f>
        <v>#VALUE!</v>
      </c>
      <c r="I17" s="266"/>
      <c r="J17" s="327"/>
      <c r="K17" s="268"/>
      <c r="L17" s="267"/>
    </row>
    <row r="18" spans="1:12">
      <c r="A18" s="265">
        <f t="shared" si="0"/>
        <v>45353.840324074074</v>
      </c>
      <c r="B18" s="266"/>
      <c r="C18" s="267" t="e">
        <f>HLOOKUP(A18,'Courbe In'!$AA$2:$CD$3,2)</f>
        <v>#VALUE!</v>
      </c>
      <c r="D18" s="267" t="e">
        <f ca="1">HLOOKUP(A18,'Courbe In'!$AA$2:$CD$7,5)</f>
        <v>#VALUE!</v>
      </c>
      <c r="E18" s="267" t="e">
        <f>HLOOKUP(A18,'Courbe In'!$AA$2:$CD$7,4)</f>
        <v>#VALUE!</v>
      </c>
      <c r="F18" s="267" t="e">
        <f ca="1">HLOOKUP(A18,'Courbe In'!$AA$2:$CD$7,6)</f>
        <v>#VALUE!</v>
      </c>
      <c r="G18" s="267" t="e">
        <f>HLOOKUP(A18,'Courbe In'!$AA$2:$CD$8,7)</f>
        <v>#VALUE!</v>
      </c>
      <c r="H18" s="267" t="e">
        <f>HLOOKUP(A18,'Courbe In'!$AA$2:$CD$9,8)</f>
        <v>#VALUE!</v>
      </c>
      <c r="I18" s="266"/>
      <c r="J18" s="327"/>
      <c r="K18" s="268"/>
      <c r="L18" s="267"/>
    </row>
    <row r="19" spans="1:12">
      <c r="A19" s="265">
        <f t="shared" si="0"/>
        <v>45354.840324074074</v>
      </c>
      <c r="B19" s="266"/>
      <c r="C19" s="267" t="e">
        <f>HLOOKUP(A19,'Courbe In'!$AA$2:$CD$3,2)</f>
        <v>#VALUE!</v>
      </c>
      <c r="D19" s="267" t="e">
        <f ca="1">HLOOKUP(A19,'Courbe In'!$AA$2:$CD$7,5)</f>
        <v>#VALUE!</v>
      </c>
      <c r="E19" s="267" t="e">
        <f>HLOOKUP(A19,'Courbe In'!$AA$2:$CD$7,4)</f>
        <v>#VALUE!</v>
      </c>
      <c r="F19" s="267" t="e">
        <f ca="1">HLOOKUP(A19,'Courbe In'!$AA$2:$CD$7,6)</f>
        <v>#VALUE!</v>
      </c>
      <c r="G19" s="267" t="e">
        <f>HLOOKUP(A19,'Courbe In'!$AA$2:$CD$8,7)</f>
        <v>#VALUE!</v>
      </c>
      <c r="H19" s="267" t="e">
        <f>HLOOKUP(A19,'Courbe In'!$AA$2:$CD$9,8)</f>
        <v>#VALUE!</v>
      </c>
      <c r="I19" s="266"/>
      <c r="J19" s="327"/>
      <c r="K19" s="268"/>
      <c r="L19" s="267"/>
    </row>
    <row r="20" spans="1:12">
      <c r="A20" s="265">
        <f t="shared" si="0"/>
        <v>45355.840324074074</v>
      </c>
      <c r="B20" s="266"/>
      <c r="C20" s="267" t="e">
        <f>HLOOKUP(A20,'Courbe In'!$AA$2:$CD$3,2)</f>
        <v>#VALUE!</v>
      </c>
      <c r="D20" s="267" t="e">
        <f ca="1">HLOOKUP(A20,'Courbe In'!$AA$2:$CD$7,5)</f>
        <v>#VALUE!</v>
      </c>
      <c r="E20" s="267" t="e">
        <f>HLOOKUP(A20,'Courbe In'!$AA$2:$CD$7,4)</f>
        <v>#VALUE!</v>
      </c>
      <c r="F20" s="267" t="e">
        <f ca="1">HLOOKUP(A20,'Courbe In'!$AA$2:$CD$7,6)</f>
        <v>#VALUE!</v>
      </c>
      <c r="G20" s="267" t="e">
        <f>HLOOKUP(A20,'Courbe In'!$AA$2:$CD$8,7)</f>
        <v>#VALUE!</v>
      </c>
      <c r="H20" s="267" t="e">
        <f>HLOOKUP(A20,'Courbe In'!$AA$2:$CD$9,8)</f>
        <v>#VALUE!</v>
      </c>
      <c r="I20" s="266"/>
      <c r="J20" s="327"/>
      <c r="K20" s="268"/>
      <c r="L20" s="267"/>
    </row>
    <row r="21" spans="1:12">
      <c r="A21" s="265">
        <f t="shared" si="0"/>
        <v>45356.840324074074</v>
      </c>
      <c r="B21" s="266"/>
      <c r="C21" s="267" t="e">
        <f>HLOOKUP(A21,'Courbe In'!$AA$2:$CD$3,2)</f>
        <v>#VALUE!</v>
      </c>
      <c r="D21" s="267" t="e">
        <f ca="1">HLOOKUP(A21,'Courbe In'!$AA$2:$CD$7,5)</f>
        <v>#VALUE!</v>
      </c>
      <c r="E21" s="267" t="e">
        <f>HLOOKUP(A21,'Courbe In'!$AA$2:$CD$7,4)</f>
        <v>#VALUE!</v>
      </c>
      <c r="F21" s="267" t="e">
        <f ca="1">HLOOKUP(A21,'Courbe In'!$AA$2:$CD$7,6)</f>
        <v>#VALUE!</v>
      </c>
      <c r="G21" s="267" t="e">
        <f>HLOOKUP(A21,'Courbe In'!$AA$2:$CD$8,7)</f>
        <v>#VALUE!</v>
      </c>
      <c r="H21" s="267" t="e">
        <f>HLOOKUP(A21,'Courbe In'!$AA$2:$CD$9,8)</f>
        <v>#VALUE!</v>
      </c>
      <c r="I21" s="266"/>
      <c r="J21" s="327"/>
      <c r="K21" s="268"/>
      <c r="L21" s="267"/>
    </row>
    <row r="22" spans="1:12">
      <c r="A22" s="268">
        <f t="shared" si="0"/>
        <v>45357.840324074074</v>
      </c>
      <c r="B22" s="266"/>
      <c r="C22" s="267" t="e">
        <f>HLOOKUP(A22,'Courbe In'!$AA$2:$CD$3,2)</f>
        <v>#VALUE!</v>
      </c>
      <c r="D22" s="267" t="e">
        <f ca="1">HLOOKUP(A22,'Courbe In'!$AA$2:$CD$7,5)</f>
        <v>#VALUE!</v>
      </c>
      <c r="E22" s="267" t="e">
        <f>HLOOKUP(A22,'Courbe In'!$AA$2:$CD$7,4)</f>
        <v>#VALUE!</v>
      </c>
      <c r="F22" s="267" t="e">
        <f ca="1">HLOOKUP(A22,'Courbe In'!$AA$2:$CD$7,6)</f>
        <v>#VALUE!</v>
      </c>
      <c r="G22" s="267" t="e">
        <f>HLOOKUP(A22,'Courbe In'!$AA$2:$CD$8,7)</f>
        <v>#VALUE!</v>
      </c>
      <c r="H22" s="267" t="e">
        <f>HLOOKUP(A22,'Courbe In'!$AA$2:$CD$9,8)</f>
        <v>#VALUE!</v>
      </c>
      <c r="I22" s="266"/>
      <c r="J22" s="327"/>
      <c r="K22" s="268"/>
      <c r="L22" s="267"/>
    </row>
    <row r="23" spans="1:12">
      <c r="A23" s="268">
        <f t="shared" si="0"/>
        <v>45358.840324074074</v>
      </c>
      <c r="B23" s="266"/>
      <c r="C23" s="267" t="e">
        <f>HLOOKUP(A23,'Courbe In'!$AA$2:$CD$3,2)</f>
        <v>#VALUE!</v>
      </c>
      <c r="D23" s="267" t="e">
        <f ca="1">HLOOKUP(A23,'Courbe In'!$AA$2:$CD$7,5)</f>
        <v>#VALUE!</v>
      </c>
      <c r="E23" s="267" t="e">
        <f>HLOOKUP(A23,'Courbe In'!$AA$2:$CD$7,4)</f>
        <v>#VALUE!</v>
      </c>
      <c r="F23" s="267" t="e">
        <f ca="1">HLOOKUP(A23,'Courbe In'!$AA$2:$CD$7,6)</f>
        <v>#VALUE!</v>
      </c>
      <c r="G23" s="267" t="e">
        <f>HLOOKUP(A23,'Courbe In'!$AA$2:$CD$8,7)</f>
        <v>#VALUE!</v>
      </c>
      <c r="H23" s="267" t="e">
        <f>HLOOKUP(A23,'Courbe In'!$AA$2:$CD$9,8)</f>
        <v>#VALUE!</v>
      </c>
      <c r="I23" s="266"/>
      <c r="J23" s="327"/>
      <c r="K23" s="268"/>
      <c r="L23" s="267"/>
    </row>
    <row r="24" spans="1:12">
      <c r="A24" s="268">
        <f t="shared" si="0"/>
        <v>45359.840324074074</v>
      </c>
      <c r="B24" s="266"/>
      <c r="C24" s="267" t="e">
        <f>HLOOKUP(A24,'Courbe In'!$AA$2:$CD$3,2)</f>
        <v>#VALUE!</v>
      </c>
      <c r="D24" s="267" t="e">
        <f ca="1">HLOOKUP(A24,'Courbe In'!$AA$2:$CD$7,5)</f>
        <v>#VALUE!</v>
      </c>
      <c r="E24" s="267" t="e">
        <f>HLOOKUP(A24,'Courbe In'!$AA$2:$CD$7,4)</f>
        <v>#VALUE!</v>
      </c>
      <c r="F24" s="267" t="e">
        <f ca="1">HLOOKUP(A24,'Courbe In'!$AA$2:$CD$7,6)</f>
        <v>#VALUE!</v>
      </c>
      <c r="G24" s="267" t="e">
        <f>HLOOKUP(A24,'Courbe In'!$AA$2:$CD$8,7)</f>
        <v>#VALUE!</v>
      </c>
      <c r="H24" s="267" t="e">
        <f>HLOOKUP(A24,'Courbe In'!$AA$2:$CD$9,8)</f>
        <v>#VALUE!</v>
      </c>
      <c r="I24" s="266"/>
      <c r="J24" s="327"/>
      <c r="K24" s="268"/>
      <c r="L24" s="267"/>
    </row>
    <row r="25" spans="1:12">
      <c r="A25" s="268">
        <f t="shared" si="0"/>
        <v>45360.840324074074</v>
      </c>
      <c r="B25" s="266"/>
      <c r="C25" s="267" t="e">
        <f>HLOOKUP(A25,'Courbe In'!$AA$2:$CD$3,2)</f>
        <v>#VALUE!</v>
      </c>
      <c r="D25" s="267" t="e">
        <f ca="1">HLOOKUP(A25,'Courbe In'!$AA$2:$CD$7,5)</f>
        <v>#VALUE!</v>
      </c>
      <c r="E25" s="267" t="e">
        <f>HLOOKUP(A25,'Courbe In'!$AA$2:$CD$7,4)</f>
        <v>#VALUE!</v>
      </c>
      <c r="F25" s="267" t="e">
        <f ca="1">HLOOKUP(A25,'Courbe In'!$AA$2:$CD$7,6)</f>
        <v>#VALUE!</v>
      </c>
      <c r="G25" s="267" t="e">
        <f>HLOOKUP(A25,'Courbe In'!$AA$2:$CD$8,7)</f>
        <v>#VALUE!</v>
      </c>
      <c r="H25" s="267" t="e">
        <f>HLOOKUP(A25,'Courbe In'!$AA$2:$CD$9,8)</f>
        <v>#VALUE!</v>
      </c>
      <c r="I25" s="266"/>
      <c r="J25" s="327"/>
      <c r="K25" s="268"/>
      <c r="L25" s="267"/>
    </row>
    <row r="26" spans="1:12">
      <c r="A26" s="268">
        <f t="shared" si="0"/>
        <v>45361.840324074074</v>
      </c>
      <c r="B26" s="266"/>
      <c r="C26" s="267" t="e">
        <f>HLOOKUP(A26,'Courbe In'!$AA$2:$CD$3,2)</f>
        <v>#VALUE!</v>
      </c>
      <c r="D26" s="267" t="e">
        <f ca="1">HLOOKUP(A26,'Courbe In'!$AA$2:$CD$7,5)</f>
        <v>#VALUE!</v>
      </c>
      <c r="E26" s="267" t="e">
        <f>HLOOKUP(A26,'Courbe In'!$AA$2:$CD$7,4)</f>
        <v>#VALUE!</v>
      </c>
      <c r="F26" s="267" t="e">
        <f ca="1">HLOOKUP(A26,'Courbe In'!$AA$2:$CD$7,6)</f>
        <v>#VALUE!</v>
      </c>
      <c r="G26" s="267" t="e">
        <f>HLOOKUP(A26,'Courbe In'!$AA$2:$CD$8,7)</f>
        <v>#VALUE!</v>
      </c>
      <c r="H26" s="267" t="e">
        <f>HLOOKUP(A26,'Courbe In'!$AA$2:$CD$9,8)</f>
        <v>#VALUE!</v>
      </c>
      <c r="I26" s="266"/>
      <c r="J26" s="327"/>
      <c r="K26" s="268"/>
      <c r="L26" s="267"/>
    </row>
    <row r="27" spans="1:12">
      <c r="A27" s="268">
        <f t="shared" si="0"/>
        <v>45362.840324074074</v>
      </c>
      <c r="B27" s="266"/>
      <c r="C27" s="267" t="e">
        <f>HLOOKUP(A27,'Courbe In'!$AA$2:$CD$3,2)</f>
        <v>#VALUE!</v>
      </c>
      <c r="D27" s="267" t="e">
        <f ca="1">HLOOKUP(A27,'Courbe In'!$AA$2:$CD$7,5)</f>
        <v>#VALUE!</v>
      </c>
      <c r="E27" s="267" t="e">
        <f>HLOOKUP(A27,'Courbe In'!$AA$2:$CD$7,4)</f>
        <v>#VALUE!</v>
      </c>
      <c r="F27" s="267" t="e">
        <f ca="1">HLOOKUP(A27,'Courbe In'!$AA$2:$CD$7,6)</f>
        <v>#VALUE!</v>
      </c>
      <c r="G27" s="267" t="e">
        <f>HLOOKUP(A27,'Courbe In'!$AA$2:$CD$8,7)</f>
        <v>#VALUE!</v>
      </c>
      <c r="H27" s="267" t="e">
        <f>HLOOKUP(A27,'Courbe In'!$AA$2:$CD$9,8)</f>
        <v>#VALUE!</v>
      </c>
      <c r="I27" s="266"/>
      <c r="J27" s="327"/>
      <c r="K27" s="268"/>
      <c r="L27" s="267"/>
    </row>
    <row r="28" spans="1:12">
      <c r="A28" s="268">
        <f t="shared" si="0"/>
        <v>45363.840324074074</v>
      </c>
      <c r="B28" s="266"/>
      <c r="C28" s="267" t="e">
        <f>HLOOKUP(A28,'Courbe In'!$AA$2:$CD$3,2)</f>
        <v>#VALUE!</v>
      </c>
      <c r="D28" s="267" t="e">
        <f ca="1">HLOOKUP(A28,'Courbe In'!$AA$2:$CD$7,5)</f>
        <v>#VALUE!</v>
      </c>
      <c r="E28" s="267" t="e">
        <f>HLOOKUP(A28,'Courbe In'!$AA$2:$CD$7,4)</f>
        <v>#VALUE!</v>
      </c>
      <c r="F28" s="267" t="e">
        <f ca="1">HLOOKUP(A28,'Courbe In'!$AA$2:$CD$7,6)</f>
        <v>#VALUE!</v>
      </c>
      <c r="G28" s="267" t="e">
        <f>HLOOKUP(A28,'Courbe In'!$AA$2:$CD$8,7)</f>
        <v>#VALUE!</v>
      </c>
      <c r="H28" s="267" t="e">
        <f>HLOOKUP(A28,'Courbe In'!$AA$2:$CD$9,8)</f>
        <v>#VALUE!</v>
      </c>
      <c r="I28" s="266"/>
      <c r="J28" s="327"/>
      <c r="K28" s="268"/>
      <c r="L28" s="267"/>
    </row>
    <row r="29" spans="1:12">
      <c r="A29" s="268">
        <f t="shared" si="0"/>
        <v>45364.840324074074</v>
      </c>
      <c r="B29" s="266"/>
      <c r="C29" s="267" t="e">
        <f>HLOOKUP(A29,'Courbe In'!$AA$2:$CD$3,2)</f>
        <v>#VALUE!</v>
      </c>
      <c r="D29" s="267" t="e">
        <f ca="1">HLOOKUP(A29,'Courbe In'!$AA$2:$CD$7,5)</f>
        <v>#VALUE!</v>
      </c>
      <c r="E29" s="267" t="e">
        <f>HLOOKUP(A29,'Courbe In'!$AA$2:$CD$7,4)</f>
        <v>#VALUE!</v>
      </c>
      <c r="F29" s="267" t="e">
        <f ca="1">HLOOKUP(A29,'Courbe In'!$AA$2:$CD$7,6)</f>
        <v>#VALUE!</v>
      </c>
      <c r="G29" s="267" t="e">
        <f>HLOOKUP(A29,'Courbe In'!$AA$2:$CD$8,7)</f>
        <v>#VALUE!</v>
      </c>
      <c r="H29" s="267" t="e">
        <f>HLOOKUP(A29,'Courbe In'!$AA$2:$CD$9,8)</f>
        <v>#VALUE!</v>
      </c>
      <c r="I29" s="266"/>
      <c r="J29" s="327"/>
      <c r="K29" s="268"/>
      <c r="L29" s="267"/>
    </row>
    <row r="30" spans="1:12">
      <c r="A30" s="268">
        <f t="shared" si="0"/>
        <v>45365.840324074074</v>
      </c>
      <c r="B30" s="266"/>
      <c r="C30" s="267" t="e">
        <f>HLOOKUP(A30,'Courbe In'!$AA$2:$CD$3,2)</f>
        <v>#VALUE!</v>
      </c>
      <c r="D30" s="267" t="e">
        <f ca="1">HLOOKUP(A30,'Courbe In'!$AA$2:$CD$7,5)</f>
        <v>#VALUE!</v>
      </c>
      <c r="E30" s="267" t="e">
        <f>HLOOKUP(A30,'Courbe In'!$AA$2:$CD$7,4)</f>
        <v>#VALUE!</v>
      </c>
      <c r="F30" s="267" t="e">
        <f ca="1">HLOOKUP(A30,'Courbe In'!$AA$2:$CD$7,6)</f>
        <v>#VALUE!</v>
      </c>
      <c r="G30" s="267" t="e">
        <f>HLOOKUP(A30,'Courbe In'!$AA$2:$CD$8,7)</f>
        <v>#VALUE!</v>
      </c>
      <c r="H30" s="267" t="e">
        <f>HLOOKUP(A30,'Courbe In'!$AA$2:$CD$9,8)</f>
        <v>#VALUE!</v>
      </c>
      <c r="I30" s="266"/>
      <c r="J30" s="327"/>
      <c r="K30" s="268"/>
      <c r="L30" s="267"/>
    </row>
    <row r="31" spans="1:12">
      <c r="A31" s="268">
        <f t="shared" si="0"/>
        <v>45366.840324074074</v>
      </c>
      <c r="B31" s="266"/>
      <c r="C31" s="267" t="e">
        <f>HLOOKUP(A31,'Courbe In'!$AA$2:$CD$3,2)</f>
        <v>#VALUE!</v>
      </c>
      <c r="D31" s="267" t="e">
        <f ca="1">HLOOKUP(A31,'Courbe In'!$AA$2:$CD$7,5)</f>
        <v>#VALUE!</v>
      </c>
      <c r="E31" s="267" t="e">
        <f>HLOOKUP(A31,'Courbe In'!$AA$2:$CD$7,4)</f>
        <v>#VALUE!</v>
      </c>
      <c r="F31" s="267" t="e">
        <f ca="1">HLOOKUP(A31,'Courbe In'!$AA$2:$CD$7,6)</f>
        <v>#VALUE!</v>
      </c>
      <c r="G31" s="267" t="e">
        <f>HLOOKUP(A31,'Courbe In'!$AA$2:$CD$8,7)</f>
        <v>#VALUE!</v>
      </c>
      <c r="H31" s="267" t="e">
        <f>HLOOKUP(A31,'Courbe In'!$AA$2:$CD$9,8)</f>
        <v>#VALUE!</v>
      </c>
      <c r="I31" s="266"/>
      <c r="J31" s="327"/>
      <c r="K31" s="268"/>
      <c r="L31" s="267"/>
    </row>
    <row r="32" spans="1:12">
      <c r="A32" s="268">
        <f t="shared" si="0"/>
        <v>45367.840324074074</v>
      </c>
      <c r="B32" s="266"/>
      <c r="C32" s="267" t="e">
        <f>HLOOKUP(A32,'Courbe In'!$AA$2:$CD$3,2)</f>
        <v>#VALUE!</v>
      </c>
      <c r="D32" s="267" t="e">
        <f ca="1">HLOOKUP(A32,'Courbe In'!$AA$2:$CD$7,5)</f>
        <v>#VALUE!</v>
      </c>
      <c r="E32" s="267" t="e">
        <f>HLOOKUP(A32,'Courbe In'!$AA$2:$CD$7,4)</f>
        <v>#VALUE!</v>
      </c>
      <c r="F32" s="267" t="e">
        <f ca="1">HLOOKUP(A32,'Courbe In'!$AA$2:$CD$7,6)</f>
        <v>#VALUE!</v>
      </c>
      <c r="G32" s="267" t="e">
        <f>HLOOKUP(A32,'Courbe In'!$AA$2:$CD$8,7)</f>
        <v>#VALUE!</v>
      </c>
      <c r="H32" s="267" t="e">
        <f>HLOOKUP(A32,'Courbe In'!$AA$2:$CD$9,8)</f>
        <v>#VALUE!</v>
      </c>
      <c r="I32" s="266"/>
      <c r="J32" s="327"/>
      <c r="K32" s="268"/>
      <c r="L32" s="267"/>
    </row>
    <row r="33" spans="1:12">
      <c r="A33" s="268">
        <f t="shared" si="0"/>
        <v>45368.840324074074</v>
      </c>
      <c r="B33" s="266"/>
      <c r="C33" s="267" t="e">
        <f>HLOOKUP(A33,'Courbe In'!$AA$2:$CD$3,2)</f>
        <v>#VALUE!</v>
      </c>
      <c r="D33" s="267" t="e">
        <f ca="1">HLOOKUP(A33,'Courbe In'!$AA$2:$CD$7,5)</f>
        <v>#VALUE!</v>
      </c>
      <c r="E33" s="267" t="e">
        <f>HLOOKUP(A33,'Courbe In'!$AA$2:$CD$7,4)</f>
        <v>#VALUE!</v>
      </c>
      <c r="F33" s="267" t="e">
        <f ca="1">HLOOKUP(A33,'Courbe In'!$AA$2:$CD$7,6)</f>
        <v>#VALUE!</v>
      </c>
      <c r="G33" s="267" t="e">
        <f>HLOOKUP(A33,'Courbe In'!$AA$2:$CD$8,7)</f>
        <v>#VALUE!</v>
      </c>
      <c r="H33" s="267" t="e">
        <f>HLOOKUP(A33,'Courbe In'!$AA$2:$CD$9,8)</f>
        <v>#VALUE!</v>
      </c>
      <c r="I33" s="266"/>
      <c r="J33" s="327"/>
      <c r="K33" s="268"/>
      <c r="L33" s="267"/>
    </row>
    <row r="34" spans="1:12">
      <c r="A34" s="268">
        <f t="shared" si="0"/>
        <v>45369.840324074074</v>
      </c>
      <c r="B34" s="266"/>
      <c r="C34" s="267" t="e">
        <f>HLOOKUP(A34,'Courbe In'!$AA$2:$CD$3,2)</f>
        <v>#VALUE!</v>
      </c>
      <c r="D34" s="267" t="e">
        <f ca="1">HLOOKUP(A34,'Courbe In'!$AA$2:$CD$7,5)</f>
        <v>#VALUE!</v>
      </c>
      <c r="E34" s="267" t="e">
        <f>HLOOKUP(A34,'Courbe In'!$AA$2:$CD$7,4)</f>
        <v>#VALUE!</v>
      </c>
      <c r="F34" s="267" t="e">
        <f ca="1">HLOOKUP(A34,'Courbe In'!$AA$2:$CD$7,6)</f>
        <v>#VALUE!</v>
      </c>
      <c r="G34" s="267" t="e">
        <f>HLOOKUP(A34,'Courbe In'!$AA$2:$CD$8,7)</f>
        <v>#VALUE!</v>
      </c>
      <c r="H34" s="267" t="e">
        <f>HLOOKUP(A34,'Courbe In'!$AA$2:$CD$9,8)</f>
        <v>#VALUE!</v>
      </c>
      <c r="I34" s="266"/>
      <c r="J34" s="327"/>
      <c r="K34" s="268"/>
      <c r="L34" s="267"/>
    </row>
    <row r="35" spans="1:12">
      <c r="A35" s="268">
        <f t="shared" si="0"/>
        <v>45370.840324074074</v>
      </c>
      <c r="B35" s="266"/>
      <c r="C35" s="267" t="e">
        <f>HLOOKUP(A35,'Courbe In'!$AA$2:$CD$3,2)</f>
        <v>#VALUE!</v>
      </c>
      <c r="D35" s="267" t="e">
        <f ca="1">HLOOKUP(A35,'Courbe In'!$AA$2:$CD$7,5)</f>
        <v>#VALUE!</v>
      </c>
      <c r="E35" s="267" t="e">
        <f>HLOOKUP(A35,'Courbe In'!$AA$2:$CD$7,4)</f>
        <v>#VALUE!</v>
      </c>
      <c r="F35" s="267" t="e">
        <f ca="1">HLOOKUP(A35,'Courbe In'!$AA$2:$CD$7,6)</f>
        <v>#VALUE!</v>
      </c>
      <c r="G35" s="267" t="e">
        <f>HLOOKUP(A35,'Courbe In'!$AA$2:$CD$8,7)</f>
        <v>#VALUE!</v>
      </c>
      <c r="H35" s="267" t="e">
        <f>HLOOKUP(A35,'Courbe In'!$AA$2:$CD$9,8)</f>
        <v>#VALUE!</v>
      </c>
      <c r="I35" s="266"/>
      <c r="J35" s="327"/>
      <c r="K35" s="268"/>
      <c r="L35" s="267"/>
    </row>
    <row r="36" spans="1:12">
      <c r="A36" s="268">
        <f t="shared" si="0"/>
        <v>45371.840324074074</v>
      </c>
      <c r="B36" s="266"/>
      <c r="C36" s="267" t="e">
        <f>HLOOKUP(A36,'Courbe In'!$AA$2:$CD$3,2)</f>
        <v>#VALUE!</v>
      </c>
      <c r="D36" s="267" t="e">
        <f ca="1">HLOOKUP(A36,'Courbe In'!$AA$2:$CD$7,5)</f>
        <v>#VALUE!</v>
      </c>
      <c r="E36" s="267" t="e">
        <f>HLOOKUP(A36,'Courbe In'!$AA$2:$CD$7,4)</f>
        <v>#VALUE!</v>
      </c>
      <c r="F36" s="267" t="e">
        <f ca="1">HLOOKUP(A36,'Courbe In'!$AA$2:$CD$7,6)</f>
        <v>#VALUE!</v>
      </c>
      <c r="G36" s="267" t="e">
        <f>HLOOKUP(A36,'Courbe In'!$AA$2:$CD$8,7)</f>
        <v>#VALUE!</v>
      </c>
      <c r="H36" s="267" t="e">
        <f>HLOOKUP(A36,'Courbe In'!$AA$2:$CD$9,8)</f>
        <v>#VALUE!</v>
      </c>
      <c r="I36" s="266"/>
      <c r="J36" s="327"/>
      <c r="K36" s="268"/>
      <c r="L36" s="267"/>
    </row>
    <row r="37" spans="1:12">
      <c r="A37" s="268">
        <f t="shared" si="0"/>
        <v>45372.840324074074</v>
      </c>
      <c r="B37" s="266"/>
      <c r="C37" s="267" t="e">
        <f>HLOOKUP(A37,'Courbe In'!$AA$2:$CD$3,2)</f>
        <v>#VALUE!</v>
      </c>
      <c r="D37" s="267" t="e">
        <f ca="1">HLOOKUP(A37,'Courbe In'!$AA$2:$CD$7,5)</f>
        <v>#VALUE!</v>
      </c>
      <c r="E37" s="267" t="e">
        <f>HLOOKUP(A37,'Courbe In'!$AA$2:$CD$7,4)</f>
        <v>#VALUE!</v>
      </c>
      <c r="F37" s="267" t="e">
        <f ca="1">HLOOKUP(A37,'Courbe In'!$AA$2:$CD$7,6)</f>
        <v>#VALUE!</v>
      </c>
      <c r="G37" s="267" t="e">
        <f>HLOOKUP(A37,'Courbe In'!$AA$2:$CD$8,7)</f>
        <v>#VALUE!</v>
      </c>
      <c r="H37" s="267" t="e">
        <f>HLOOKUP(A37,'Courbe In'!$AA$2:$CD$9,8)</f>
        <v>#VALUE!</v>
      </c>
      <c r="I37" s="266"/>
      <c r="J37" s="327"/>
      <c r="K37" s="268"/>
      <c r="L37" s="267"/>
    </row>
    <row r="38" spans="1:12">
      <c r="A38" s="268">
        <f t="shared" si="0"/>
        <v>45373.840324074074</v>
      </c>
      <c r="B38" s="266"/>
      <c r="C38" s="267" t="e">
        <f>HLOOKUP(A38,'Courbe In'!$AA$2:$CD$3,2)</f>
        <v>#VALUE!</v>
      </c>
      <c r="D38" s="267" t="e">
        <f ca="1">HLOOKUP(A38,'Courbe In'!$AA$2:$CD$7,5)</f>
        <v>#VALUE!</v>
      </c>
      <c r="E38" s="267" t="e">
        <f>HLOOKUP(A38,'Courbe In'!$AA$2:$CD$7,4)</f>
        <v>#VALUE!</v>
      </c>
      <c r="F38" s="267" t="e">
        <f ca="1">HLOOKUP(A38,'Courbe In'!$AA$2:$CD$7,6)</f>
        <v>#VALUE!</v>
      </c>
      <c r="G38" s="267" t="e">
        <f>HLOOKUP(A38,'Courbe In'!$AA$2:$CD$8,7)</f>
        <v>#VALUE!</v>
      </c>
      <c r="H38" s="267" t="e">
        <f>HLOOKUP(A38,'Courbe In'!$AA$2:$CD$9,8)</f>
        <v>#VALUE!</v>
      </c>
      <c r="I38" s="266"/>
      <c r="J38" s="327"/>
      <c r="K38" s="268"/>
      <c r="L38" s="267"/>
    </row>
    <row r="39" spans="1:12">
      <c r="A39" s="268">
        <f t="shared" si="0"/>
        <v>45374.840324074074</v>
      </c>
      <c r="B39" s="266"/>
      <c r="C39" s="267" t="e">
        <f>HLOOKUP(A39,'Courbe In'!$AA$2:$CD$3,2)</f>
        <v>#VALUE!</v>
      </c>
      <c r="D39" s="267" t="e">
        <f ca="1">HLOOKUP(A39,'Courbe In'!$AA$2:$CD$7,5)</f>
        <v>#VALUE!</v>
      </c>
      <c r="E39" s="267" t="e">
        <f>HLOOKUP(A39,'Courbe In'!$AA$2:$CD$7,4)</f>
        <v>#VALUE!</v>
      </c>
      <c r="F39" s="267" t="e">
        <f ca="1">HLOOKUP(A39,'Courbe In'!$AA$2:$CD$7,6)</f>
        <v>#VALUE!</v>
      </c>
      <c r="G39" s="267" t="e">
        <f>HLOOKUP(A39,'Courbe In'!$AA$2:$CD$8,7)</f>
        <v>#VALUE!</v>
      </c>
      <c r="H39" s="267" t="e">
        <f>HLOOKUP(A39,'Courbe In'!$AA$2:$CD$9,8)</f>
        <v>#VALUE!</v>
      </c>
      <c r="I39" s="266"/>
      <c r="J39" s="327"/>
      <c r="K39" s="268"/>
      <c r="L39" s="267"/>
    </row>
    <row r="40" spans="1:12">
      <c r="A40" s="268">
        <f t="shared" si="0"/>
        <v>45375.840324074074</v>
      </c>
      <c r="B40" s="266"/>
      <c r="C40" s="267" t="e">
        <f>HLOOKUP(A40,'Courbe In'!$AA$2:$CD$3,2)</f>
        <v>#VALUE!</v>
      </c>
      <c r="D40" s="267" t="e">
        <f ca="1">HLOOKUP(A40,'Courbe In'!$AA$2:$CD$7,5)</f>
        <v>#VALUE!</v>
      </c>
      <c r="E40" s="267" t="e">
        <f>HLOOKUP(A40,'Courbe In'!$AA$2:$CD$7,4)</f>
        <v>#VALUE!</v>
      </c>
      <c r="F40" s="267" t="e">
        <f ca="1">HLOOKUP(A40,'Courbe In'!$AA$2:$CD$7,6)</f>
        <v>#VALUE!</v>
      </c>
      <c r="G40" s="267" t="e">
        <f>HLOOKUP(A40,'Courbe In'!$AA$2:$CD$8,7)</f>
        <v>#VALUE!</v>
      </c>
      <c r="H40" s="267" t="e">
        <f>HLOOKUP(A40,'Courbe In'!$AA$2:$CD$9,8)</f>
        <v>#VALUE!</v>
      </c>
      <c r="I40" s="266"/>
      <c r="J40" s="327"/>
      <c r="K40" s="268"/>
      <c r="L40" s="267"/>
    </row>
    <row r="41" spans="1:12">
      <c r="A41" s="268">
        <f t="shared" si="0"/>
        <v>45376.840324074074</v>
      </c>
      <c r="B41" s="266"/>
      <c r="C41" s="267" t="e">
        <f>HLOOKUP(A41,'Courbe In'!$AA$2:$CD$3,2)</f>
        <v>#VALUE!</v>
      </c>
      <c r="D41" s="267" t="e">
        <f ca="1">HLOOKUP(A41,'Courbe In'!$AA$2:$CD$7,5)</f>
        <v>#VALUE!</v>
      </c>
      <c r="E41" s="267" t="e">
        <f>HLOOKUP(A41,'Courbe In'!$AA$2:$CD$7,4)</f>
        <v>#VALUE!</v>
      </c>
      <c r="F41" s="267" t="e">
        <f ca="1">HLOOKUP(A41,'Courbe In'!$AA$2:$CD$7,6)</f>
        <v>#VALUE!</v>
      </c>
      <c r="G41" s="267" t="e">
        <f>HLOOKUP(A41,'Courbe In'!$AA$2:$CD$8,7)</f>
        <v>#VALUE!</v>
      </c>
      <c r="H41" s="267" t="e">
        <f>HLOOKUP(A41,'Courbe In'!$AA$2:$CD$9,8)</f>
        <v>#VALUE!</v>
      </c>
      <c r="I41" s="266"/>
      <c r="J41" s="327"/>
      <c r="K41" s="268"/>
      <c r="L41" s="267"/>
    </row>
    <row r="42" spans="1:12">
      <c r="A42" s="268">
        <f t="shared" si="0"/>
        <v>45377.840324074074</v>
      </c>
      <c r="B42" s="266"/>
      <c r="C42" s="267" t="e">
        <f>HLOOKUP(A42,'Courbe In'!$AA$2:$CD$3,2)</f>
        <v>#VALUE!</v>
      </c>
      <c r="D42" s="267" t="e">
        <f ca="1">HLOOKUP(A42,'Courbe In'!$AA$2:$CD$7,5)</f>
        <v>#VALUE!</v>
      </c>
      <c r="E42" s="267" t="e">
        <f>HLOOKUP(A42,'Courbe In'!$AA$2:$CD$7,4)</f>
        <v>#VALUE!</v>
      </c>
      <c r="F42" s="267" t="e">
        <f ca="1">HLOOKUP(A42,'Courbe In'!$AA$2:$CD$7,6)</f>
        <v>#VALUE!</v>
      </c>
      <c r="G42" s="267" t="e">
        <f>HLOOKUP(A42,'Courbe In'!$AA$2:$CD$8,7)</f>
        <v>#VALUE!</v>
      </c>
      <c r="H42" s="267" t="e">
        <f>HLOOKUP(A42,'Courbe In'!$AA$2:$CD$9,8)</f>
        <v>#VALUE!</v>
      </c>
      <c r="I42" s="266"/>
      <c r="J42" s="327"/>
      <c r="K42" s="268"/>
      <c r="L42" s="267"/>
    </row>
    <row r="43" spans="1:12">
      <c r="A43" s="268">
        <f t="shared" si="0"/>
        <v>45378.840324074074</v>
      </c>
      <c r="B43" s="266"/>
      <c r="C43" s="267" t="e">
        <f>HLOOKUP(A43,'Courbe In'!$AA$2:$CD$3,2)</f>
        <v>#VALUE!</v>
      </c>
      <c r="D43" s="267" t="e">
        <f ca="1">HLOOKUP(A43,'Courbe In'!$AA$2:$CD$7,5)</f>
        <v>#VALUE!</v>
      </c>
      <c r="E43" s="267" t="e">
        <f>HLOOKUP(A43,'Courbe In'!$AA$2:$CD$7,4)</f>
        <v>#VALUE!</v>
      </c>
      <c r="F43" s="267" t="e">
        <f ca="1">HLOOKUP(A43,'Courbe In'!$AA$2:$CD$7,6)</f>
        <v>#VALUE!</v>
      </c>
      <c r="G43" s="267" t="e">
        <f>HLOOKUP(A43,'Courbe In'!$AA$2:$CD$8,7)</f>
        <v>#VALUE!</v>
      </c>
      <c r="H43" s="267" t="e">
        <f>HLOOKUP(A43,'Courbe In'!$AA$2:$CD$9,8)</f>
        <v>#VALUE!</v>
      </c>
      <c r="I43" s="266"/>
      <c r="J43" s="327"/>
      <c r="K43" s="268"/>
      <c r="L43" s="267"/>
    </row>
    <row r="44" spans="1:12">
      <c r="A44" s="268">
        <f t="shared" si="0"/>
        <v>45379.840324074074</v>
      </c>
      <c r="B44" s="266"/>
      <c r="C44" s="267" t="e">
        <f>HLOOKUP(A44,'Courbe In'!$AA$2:$CD$3,2)</f>
        <v>#VALUE!</v>
      </c>
      <c r="D44" s="267" t="e">
        <f ca="1">HLOOKUP(A44,'Courbe In'!$AA$2:$CD$7,5)</f>
        <v>#VALUE!</v>
      </c>
      <c r="E44" s="267" t="e">
        <f>HLOOKUP(A44,'Courbe In'!$AA$2:$CD$7,4)</f>
        <v>#VALUE!</v>
      </c>
      <c r="F44" s="267" t="e">
        <f ca="1">HLOOKUP(A44,'Courbe In'!$AA$2:$CD$7,6)</f>
        <v>#VALUE!</v>
      </c>
      <c r="G44" s="267" t="e">
        <f>HLOOKUP(A44,'Courbe In'!$AA$2:$CD$8,7)</f>
        <v>#VALUE!</v>
      </c>
      <c r="H44" s="267" t="e">
        <f>HLOOKUP(A44,'Courbe In'!$AA$2:$CD$9,8)</f>
        <v>#VALUE!</v>
      </c>
      <c r="I44" s="266"/>
      <c r="J44" s="327"/>
      <c r="K44" s="268"/>
      <c r="L44" s="267"/>
    </row>
    <row r="45" spans="1:12">
      <c r="A45" s="268">
        <f t="shared" si="0"/>
        <v>45380.840324074074</v>
      </c>
      <c r="B45" s="266"/>
      <c r="C45" s="267" t="e">
        <f>HLOOKUP(A45,'Courbe In'!$AA$2:$CD$3,2)</f>
        <v>#VALUE!</v>
      </c>
      <c r="D45" s="267" t="e">
        <f ca="1">HLOOKUP(A45,'Courbe In'!$AA$2:$CD$7,5)</f>
        <v>#VALUE!</v>
      </c>
      <c r="E45" s="267" t="e">
        <f>HLOOKUP(A45,'Courbe In'!$AA$2:$CD$7,4)</f>
        <v>#VALUE!</v>
      </c>
      <c r="F45" s="267" t="e">
        <f ca="1">HLOOKUP(A45,'Courbe In'!$AA$2:$CD$7,6)</f>
        <v>#VALUE!</v>
      </c>
      <c r="G45" s="267" t="e">
        <f>HLOOKUP(A45,'Courbe In'!$AA$2:$CD$8,7)</f>
        <v>#VALUE!</v>
      </c>
      <c r="H45" s="267" t="e">
        <f>HLOOKUP(A45,'Courbe In'!$AA$2:$CD$9,8)</f>
        <v>#VALUE!</v>
      </c>
      <c r="I45" s="266"/>
      <c r="J45" s="327"/>
      <c r="K45" s="268"/>
      <c r="L45" s="267"/>
    </row>
    <row r="46" spans="1:12">
      <c r="A46" s="268">
        <f t="shared" si="0"/>
        <v>45381.840324074074</v>
      </c>
      <c r="B46" s="266"/>
      <c r="C46" s="267" t="e">
        <f>HLOOKUP(A46,'Courbe In'!$AA$2:$CD$3,2)</f>
        <v>#VALUE!</v>
      </c>
      <c r="D46" s="267" t="e">
        <f ca="1">HLOOKUP(A46,'Courbe In'!$AA$2:$CD$7,5)</f>
        <v>#VALUE!</v>
      </c>
      <c r="E46" s="267" t="e">
        <f>HLOOKUP(A46,'Courbe In'!$AA$2:$CD$7,4)</f>
        <v>#VALUE!</v>
      </c>
      <c r="F46" s="267" t="e">
        <f ca="1">HLOOKUP(A46,'Courbe In'!$AA$2:$CD$7,6)</f>
        <v>#VALUE!</v>
      </c>
      <c r="G46" s="267" t="e">
        <f>HLOOKUP(A46,'Courbe In'!$AA$2:$CD$8,7)</f>
        <v>#VALUE!</v>
      </c>
      <c r="H46" s="267" t="e">
        <f>HLOOKUP(A46,'Courbe In'!$AA$2:$CD$9,8)</f>
        <v>#VALUE!</v>
      </c>
      <c r="I46" s="266"/>
      <c r="J46" s="327"/>
      <c r="K46" s="268"/>
      <c r="L46" s="267"/>
    </row>
    <row r="47" spans="1:12">
      <c r="A47" s="268">
        <f t="shared" si="0"/>
        <v>45382.840324074074</v>
      </c>
      <c r="B47" s="266"/>
      <c r="C47" s="267" t="e">
        <f>HLOOKUP(A47,'Courbe In'!$AA$2:$CD$3,2)</f>
        <v>#VALUE!</v>
      </c>
      <c r="D47" s="267" t="e">
        <f ca="1">HLOOKUP(A47,'Courbe In'!$AA$2:$CD$7,5)</f>
        <v>#VALUE!</v>
      </c>
      <c r="E47" s="267" t="e">
        <f>HLOOKUP(A47,'Courbe In'!$AA$2:$CD$7,4)</f>
        <v>#VALUE!</v>
      </c>
      <c r="F47" s="267" t="e">
        <f ca="1">HLOOKUP(A47,'Courbe In'!$AA$2:$CD$7,6)</f>
        <v>#VALUE!</v>
      </c>
      <c r="G47" s="267" t="e">
        <f>HLOOKUP(A47,'Courbe In'!$AA$2:$CD$8,7)</f>
        <v>#VALUE!</v>
      </c>
      <c r="H47" s="267" t="e">
        <f>HLOOKUP(A47,'Courbe In'!$AA$2:$CD$9,8)</f>
        <v>#VALUE!</v>
      </c>
      <c r="I47" s="266"/>
      <c r="J47" s="327"/>
      <c r="K47" s="268"/>
      <c r="L47" s="267"/>
    </row>
    <row r="48" spans="1:12">
      <c r="A48" s="268">
        <f t="shared" si="0"/>
        <v>45383.840324074074</v>
      </c>
      <c r="B48" s="266"/>
      <c r="C48" s="267" t="e">
        <f>HLOOKUP(A48,'Courbe In'!$AA$2:$CD$3,2)</f>
        <v>#VALUE!</v>
      </c>
      <c r="D48" s="267" t="e">
        <f ca="1">HLOOKUP(A48,'Courbe In'!$AA$2:$CD$7,5)</f>
        <v>#VALUE!</v>
      </c>
      <c r="E48" s="267" t="e">
        <f>HLOOKUP(A48,'Courbe In'!$AA$2:$CD$7,4)</f>
        <v>#VALUE!</v>
      </c>
      <c r="F48" s="267" t="e">
        <f ca="1">HLOOKUP(A48,'Courbe In'!$AA$2:$CD$7,6)</f>
        <v>#VALUE!</v>
      </c>
      <c r="G48" s="267" t="e">
        <f>HLOOKUP(A48,'Courbe In'!$AA$2:$CD$8,7)</f>
        <v>#VALUE!</v>
      </c>
      <c r="H48" s="267" t="e">
        <f>HLOOKUP(A48,'Courbe In'!$AA$2:$CD$9,8)</f>
        <v>#VALUE!</v>
      </c>
      <c r="I48" s="266"/>
      <c r="J48" s="327"/>
      <c r="K48" s="268"/>
      <c r="L48" s="267"/>
    </row>
    <row r="49" spans="1:12">
      <c r="A49" s="268">
        <f t="shared" si="0"/>
        <v>45384.840324074074</v>
      </c>
      <c r="B49" s="266"/>
      <c r="C49" s="267" t="e">
        <f>HLOOKUP(A49,'Courbe In'!$AA$2:$CD$3,2)</f>
        <v>#VALUE!</v>
      </c>
      <c r="D49" s="267" t="e">
        <f ca="1">HLOOKUP(A49,'Courbe In'!$AA$2:$CD$7,5)</f>
        <v>#VALUE!</v>
      </c>
      <c r="E49" s="267" t="e">
        <f>HLOOKUP(A49,'Courbe In'!$AA$2:$CD$7,4)</f>
        <v>#VALUE!</v>
      </c>
      <c r="F49" s="267" t="e">
        <f ca="1">HLOOKUP(A49,'Courbe In'!$AA$2:$CD$7,6)</f>
        <v>#VALUE!</v>
      </c>
      <c r="G49" s="267" t="e">
        <f>HLOOKUP(A49,'Courbe In'!$AA$2:$CD$8,7)</f>
        <v>#VALUE!</v>
      </c>
      <c r="H49" s="267" t="e">
        <f>HLOOKUP(A49,'Courbe In'!$AA$2:$CD$9,8)</f>
        <v>#VALUE!</v>
      </c>
      <c r="I49" s="266"/>
      <c r="J49" s="327"/>
      <c r="K49" s="268"/>
      <c r="L49" s="267"/>
    </row>
    <row r="50" spans="1:12">
      <c r="A50" s="268">
        <f t="shared" si="0"/>
        <v>45385.840324074074</v>
      </c>
      <c r="B50" s="266"/>
      <c r="C50" s="267" t="e">
        <f>HLOOKUP(A50,'Courbe In'!$AA$2:$CD$3,2)</f>
        <v>#VALUE!</v>
      </c>
      <c r="D50" s="267" t="e">
        <f ca="1">HLOOKUP(A50,'Courbe In'!$AA$2:$CD$7,5)</f>
        <v>#VALUE!</v>
      </c>
      <c r="E50" s="267" t="e">
        <f>HLOOKUP(A50,'Courbe In'!$AA$2:$CD$7,4)</f>
        <v>#VALUE!</v>
      </c>
      <c r="F50" s="267" t="e">
        <f ca="1">HLOOKUP(A50,'Courbe In'!$AA$2:$CD$7,6)</f>
        <v>#VALUE!</v>
      </c>
      <c r="G50" s="267" t="e">
        <f>HLOOKUP(A50,'Courbe In'!$AA$2:$CD$8,7)</f>
        <v>#VALUE!</v>
      </c>
      <c r="H50" s="267" t="e">
        <f>HLOOKUP(A50,'Courbe In'!$AA$2:$CD$9,8)</f>
        <v>#VALUE!</v>
      </c>
      <c r="I50" s="266"/>
      <c r="J50" s="327"/>
      <c r="K50" s="268"/>
      <c r="L50" s="267"/>
    </row>
    <row r="51" spans="1:12">
      <c r="A51" s="268">
        <f t="shared" si="0"/>
        <v>45386.840324074074</v>
      </c>
      <c r="B51" s="266"/>
      <c r="C51" s="267" t="e">
        <f>HLOOKUP(A51,'Courbe In'!$AA$2:$CD$3,2)</f>
        <v>#VALUE!</v>
      </c>
      <c r="D51" s="267" t="e">
        <f ca="1">HLOOKUP(A51,'Courbe In'!$AA$2:$CD$7,5)</f>
        <v>#VALUE!</v>
      </c>
      <c r="E51" s="267" t="e">
        <f>HLOOKUP(A51,'Courbe In'!$AA$2:$CD$7,4)</f>
        <v>#VALUE!</v>
      </c>
      <c r="F51" s="267" t="e">
        <f ca="1">HLOOKUP(A51,'Courbe In'!$AA$2:$CD$7,6)</f>
        <v>#VALUE!</v>
      </c>
      <c r="G51" s="267" t="e">
        <f>HLOOKUP(A51,'Courbe In'!$AA$2:$CD$8,7)</f>
        <v>#VALUE!</v>
      </c>
      <c r="H51" s="267" t="e">
        <f>HLOOKUP(A51,'Courbe In'!$AA$2:$CD$9,8)</f>
        <v>#VALUE!</v>
      </c>
      <c r="I51" s="266"/>
      <c r="J51" s="327"/>
      <c r="K51" s="268"/>
      <c r="L51" s="267"/>
    </row>
    <row r="52" spans="1:12">
      <c r="A52" s="268">
        <f t="shared" si="0"/>
        <v>45387.840324074074</v>
      </c>
      <c r="B52" s="266"/>
      <c r="C52" s="267" t="e">
        <f>HLOOKUP(A52,'Courbe In'!$AA$2:$CD$3,2)</f>
        <v>#VALUE!</v>
      </c>
      <c r="D52" s="267" t="e">
        <f ca="1">HLOOKUP(A52,'Courbe In'!$AA$2:$CD$7,5)</f>
        <v>#VALUE!</v>
      </c>
      <c r="E52" s="267" t="e">
        <f>HLOOKUP(A52,'Courbe In'!$AA$2:$CD$7,4)</f>
        <v>#VALUE!</v>
      </c>
      <c r="F52" s="267" t="e">
        <f ca="1">HLOOKUP(A52,'Courbe In'!$AA$2:$CD$7,6)</f>
        <v>#VALUE!</v>
      </c>
      <c r="G52" s="267" t="e">
        <f>HLOOKUP(A52,'Courbe In'!$AA$2:$CD$8,7)</f>
        <v>#VALUE!</v>
      </c>
      <c r="H52" s="267" t="e">
        <f>HLOOKUP(A52,'Courbe In'!$AA$2:$CD$9,8)</f>
        <v>#VALUE!</v>
      </c>
      <c r="I52" s="266"/>
      <c r="J52" s="327"/>
      <c r="K52" s="268"/>
      <c r="L52" s="267"/>
    </row>
    <row r="53" spans="1:12">
      <c r="A53" s="268">
        <f t="shared" si="0"/>
        <v>45388.840324074074</v>
      </c>
      <c r="B53" s="266"/>
      <c r="C53" s="267" t="e">
        <f>HLOOKUP(A53,'Courbe In'!$AA$2:$CD$3,2)</f>
        <v>#VALUE!</v>
      </c>
      <c r="D53" s="267" t="e">
        <f ca="1">HLOOKUP(A53,'Courbe In'!$AA$2:$CD$7,5)</f>
        <v>#VALUE!</v>
      </c>
      <c r="E53" s="267" t="e">
        <f>HLOOKUP(A53,'Courbe In'!$AA$2:$CD$7,4)</f>
        <v>#VALUE!</v>
      </c>
      <c r="F53" s="267" t="e">
        <f ca="1">HLOOKUP(A53,'Courbe In'!$AA$2:$CD$7,6)</f>
        <v>#VALUE!</v>
      </c>
      <c r="G53" s="267" t="e">
        <f>HLOOKUP(A53,'Courbe In'!$AA$2:$CD$8,7)</f>
        <v>#VALUE!</v>
      </c>
      <c r="H53" s="267" t="e">
        <f>HLOOKUP(A53,'Courbe In'!$AA$2:$CD$9,8)</f>
        <v>#VALUE!</v>
      </c>
      <c r="I53" s="266"/>
      <c r="J53" s="327"/>
      <c r="K53" s="268"/>
      <c r="L53" s="267"/>
    </row>
    <row r="54" spans="1:12">
      <c r="A54" s="268">
        <f t="shared" si="0"/>
        <v>45389.840324074074</v>
      </c>
      <c r="B54" s="266"/>
      <c r="C54" s="267" t="e">
        <f>HLOOKUP(A54,'Courbe In'!$AA$2:$CD$3,2)</f>
        <v>#VALUE!</v>
      </c>
      <c r="D54" s="267" t="e">
        <f ca="1">HLOOKUP(A54,'Courbe In'!$AA$2:$CD$7,5)</f>
        <v>#VALUE!</v>
      </c>
      <c r="E54" s="267" t="e">
        <f>HLOOKUP(A54,'Courbe In'!$AA$2:$CD$7,4)</f>
        <v>#VALUE!</v>
      </c>
      <c r="F54" s="267" t="e">
        <f ca="1">HLOOKUP(A54,'Courbe In'!$AA$2:$CD$7,6)</f>
        <v>#VALUE!</v>
      </c>
      <c r="G54" s="267" t="e">
        <f>HLOOKUP(A54,'Courbe In'!$AA$2:$CD$8,7)</f>
        <v>#VALUE!</v>
      </c>
      <c r="H54" s="267" t="e">
        <f>HLOOKUP(A54,'Courbe In'!$AA$2:$CD$9,8)</f>
        <v>#VALUE!</v>
      </c>
      <c r="I54" s="266"/>
      <c r="J54" s="327"/>
      <c r="K54" s="268"/>
      <c r="L54" s="267"/>
    </row>
    <row r="55" spans="1:12">
      <c r="A55" s="268">
        <f t="shared" si="0"/>
        <v>45390.840324074074</v>
      </c>
      <c r="B55" s="266"/>
      <c r="C55" s="267" t="e">
        <f>HLOOKUP(A55,'Courbe In'!$AA$2:$CD$3,2)</f>
        <v>#VALUE!</v>
      </c>
      <c r="D55" s="267" t="e">
        <f ca="1">HLOOKUP(A55,'Courbe In'!$AA$2:$CD$7,5)</f>
        <v>#VALUE!</v>
      </c>
      <c r="E55" s="267" t="e">
        <f>HLOOKUP(A55,'Courbe In'!$AA$2:$CD$7,4)</f>
        <v>#VALUE!</v>
      </c>
      <c r="F55" s="267" t="e">
        <f ca="1">HLOOKUP(A55,'Courbe In'!$AA$2:$CD$7,6)</f>
        <v>#VALUE!</v>
      </c>
      <c r="G55" s="267" t="e">
        <f>HLOOKUP(A55,'Courbe In'!$AA$2:$CD$8,7)</f>
        <v>#VALUE!</v>
      </c>
      <c r="H55" s="267" t="e">
        <f>HLOOKUP(A55,'Courbe In'!$AA$2:$CD$9,8)</f>
        <v>#VALUE!</v>
      </c>
      <c r="I55" s="266"/>
      <c r="J55" s="327"/>
      <c r="K55" s="268"/>
      <c r="L55" s="267"/>
    </row>
    <row r="56" spans="1:12">
      <c r="A56" s="268">
        <f t="shared" si="0"/>
        <v>45391.840324074074</v>
      </c>
      <c r="B56" s="266"/>
      <c r="C56" s="267" t="e">
        <f>HLOOKUP(A56,'Courbe In'!$AA$2:$CD$3,2)</f>
        <v>#VALUE!</v>
      </c>
      <c r="D56" s="267" t="e">
        <f ca="1">HLOOKUP(A56,'Courbe In'!$AA$2:$CD$7,5)</f>
        <v>#VALUE!</v>
      </c>
      <c r="E56" s="267" t="e">
        <f>HLOOKUP(A56,'Courbe In'!$AA$2:$CD$7,4)</f>
        <v>#VALUE!</v>
      </c>
      <c r="F56" s="267" t="e">
        <f ca="1">HLOOKUP(A56,'Courbe In'!$AA$2:$CD$7,6)</f>
        <v>#VALUE!</v>
      </c>
      <c r="G56" s="267" t="e">
        <f>HLOOKUP(A56,'Courbe In'!$AA$2:$CD$8,7)</f>
        <v>#VALUE!</v>
      </c>
      <c r="H56" s="267" t="e">
        <f>HLOOKUP(A56,'Courbe In'!$AA$2:$CD$9,8)</f>
        <v>#VALUE!</v>
      </c>
      <c r="I56" s="266"/>
      <c r="J56" s="327"/>
      <c r="K56" s="268"/>
      <c r="L56" s="267"/>
    </row>
    <row r="57" spans="1:12">
      <c r="A57" s="268">
        <f t="shared" si="0"/>
        <v>45392.840324074074</v>
      </c>
      <c r="B57" s="266"/>
      <c r="C57" s="267" t="e">
        <f>HLOOKUP(A57,'Courbe In'!$AA$2:$CD$3,2)</f>
        <v>#VALUE!</v>
      </c>
      <c r="D57" s="267" t="e">
        <f ca="1">HLOOKUP(A57,'Courbe In'!$AA$2:$CD$7,5)</f>
        <v>#VALUE!</v>
      </c>
      <c r="E57" s="267" t="e">
        <f>HLOOKUP(A57,'Courbe In'!$AA$2:$CD$7,4)</f>
        <v>#VALUE!</v>
      </c>
      <c r="F57" s="267" t="e">
        <f ca="1">HLOOKUP(A57,'Courbe In'!$AA$2:$CD$7,6)</f>
        <v>#VALUE!</v>
      </c>
      <c r="G57" s="267" t="e">
        <f>HLOOKUP(A57,'Courbe In'!$AA$2:$CD$8,7)</f>
        <v>#VALUE!</v>
      </c>
      <c r="H57" s="267" t="e">
        <f>HLOOKUP(A57,'Courbe In'!$AA$2:$CD$9,8)</f>
        <v>#VALUE!</v>
      </c>
      <c r="I57" s="266"/>
      <c r="J57" s="327"/>
      <c r="K57" s="268"/>
      <c r="L57" s="267"/>
    </row>
    <row r="58" spans="1:12">
      <c r="A58" s="268">
        <f t="shared" si="0"/>
        <v>45393.840324074074</v>
      </c>
      <c r="B58" s="266"/>
      <c r="C58" s="267" t="e">
        <f>HLOOKUP(A58,'Courbe In'!$AA$2:$CD$3,2)</f>
        <v>#VALUE!</v>
      </c>
      <c r="D58" s="267" t="e">
        <f ca="1">HLOOKUP(A58,'Courbe In'!$AA$2:$CD$7,5)</f>
        <v>#VALUE!</v>
      </c>
      <c r="E58" s="267" t="e">
        <f>HLOOKUP(A58,'Courbe In'!$AA$2:$CD$7,4)</f>
        <v>#VALUE!</v>
      </c>
      <c r="F58" s="267" t="e">
        <f ca="1">HLOOKUP(A58,'Courbe In'!$AA$2:$CD$7,6)</f>
        <v>#VALUE!</v>
      </c>
      <c r="G58" s="267" t="e">
        <f>HLOOKUP(A58,'Courbe In'!$AA$2:$CD$8,7)</f>
        <v>#VALUE!</v>
      </c>
      <c r="H58" s="267" t="e">
        <f>HLOOKUP(A58,'Courbe In'!$AA$2:$CD$9,8)</f>
        <v>#VALUE!</v>
      </c>
      <c r="I58" s="266"/>
      <c r="J58" s="327"/>
      <c r="K58" s="268"/>
      <c r="L58" s="267"/>
    </row>
    <row r="59" spans="1:12">
      <c r="A59" s="268">
        <f t="shared" si="0"/>
        <v>45394.840324074074</v>
      </c>
      <c r="B59" s="266"/>
      <c r="C59" s="267" t="e">
        <f>HLOOKUP(A59,'Courbe In'!$AA$2:$CD$3,2)</f>
        <v>#VALUE!</v>
      </c>
      <c r="D59" s="267" t="e">
        <f ca="1">HLOOKUP(A59,'Courbe In'!$AA$2:$CD$7,5)</f>
        <v>#VALUE!</v>
      </c>
      <c r="E59" s="267" t="e">
        <f>HLOOKUP(A59,'Courbe In'!$AA$2:$CD$7,4)</f>
        <v>#VALUE!</v>
      </c>
      <c r="F59" s="267" t="e">
        <f ca="1">HLOOKUP(A59,'Courbe In'!$AA$2:$CD$7,6)</f>
        <v>#VALUE!</v>
      </c>
      <c r="G59" s="267" t="e">
        <f>HLOOKUP(A59,'Courbe In'!$AA$2:$CD$8,7)</f>
        <v>#VALUE!</v>
      </c>
      <c r="H59" s="267" t="e">
        <f>HLOOKUP(A59,'Courbe In'!$AA$2:$CD$9,8)</f>
        <v>#VALUE!</v>
      </c>
      <c r="I59" s="266"/>
      <c r="J59" s="327"/>
      <c r="K59" s="268"/>
      <c r="L59" s="267"/>
    </row>
    <row r="60" spans="1:12">
      <c r="A60" s="268">
        <f t="shared" si="0"/>
        <v>45395.840324074074</v>
      </c>
      <c r="B60" s="266"/>
      <c r="C60" s="267" t="e">
        <f>HLOOKUP(A60,'Courbe In'!$AA$2:$CD$3,2)</f>
        <v>#VALUE!</v>
      </c>
      <c r="D60" s="267" t="e">
        <f ca="1">HLOOKUP(A60,'Courbe In'!$AA$2:$CD$7,5)</f>
        <v>#VALUE!</v>
      </c>
      <c r="E60" s="267" t="e">
        <f>HLOOKUP(A60,'Courbe In'!$AA$2:$CD$7,4)</f>
        <v>#VALUE!</v>
      </c>
      <c r="F60" s="267" t="e">
        <f ca="1">HLOOKUP(A60,'Courbe In'!$AA$2:$CD$7,6)</f>
        <v>#VALUE!</v>
      </c>
      <c r="G60" s="267" t="e">
        <f>HLOOKUP(A60,'Courbe In'!$AA$2:$CD$8,7)</f>
        <v>#VALUE!</v>
      </c>
      <c r="H60" s="267" t="e">
        <f>HLOOKUP(A60,'Courbe In'!$AA$2:$CD$9,8)</f>
        <v>#VALUE!</v>
      </c>
      <c r="I60" s="266"/>
      <c r="J60" s="327"/>
      <c r="K60" s="268"/>
      <c r="L60" s="267"/>
    </row>
    <row r="61" spans="1:12">
      <c r="A61" s="268">
        <f t="shared" si="0"/>
        <v>45396.840324074074</v>
      </c>
      <c r="B61" s="266"/>
      <c r="C61" s="267" t="e">
        <f>HLOOKUP(A61,'Courbe In'!$AA$2:$CD$3,2)</f>
        <v>#VALUE!</v>
      </c>
      <c r="D61" s="267" t="e">
        <f ca="1">HLOOKUP(A61,'Courbe In'!$AA$2:$CD$7,5)</f>
        <v>#VALUE!</v>
      </c>
      <c r="E61" s="267" t="e">
        <f>HLOOKUP(A61,'Courbe In'!$AA$2:$CD$7,4)</f>
        <v>#VALUE!</v>
      </c>
      <c r="F61" s="267" t="e">
        <f ca="1">HLOOKUP(A61,'Courbe In'!$AA$2:$CD$7,6)</f>
        <v>#VALUE!</v>
      </c>
      <c r="G61" s="267" t="e">
        <f>HLOOKUP(A61,'Courbe In'!$AA$2:$CD$8,7)</f>
        <v>#VALUE!</v>
      </c>
      <c r="H61" s="267" t="e">
        <f>HLOOKUP(A61,'Courbe In'!$AA$2:$CD$9,8)</f>
        <v>#VALUE!</v>
      </c>
      <c r="I61" s="266"/>
      <c r="J61" s="327"/>
      <c r="K61" s="268"/>
      <c r="L61" s="267"/>
    </row>
    <row r="62" spans="1:12">
      <c r="A62" s="268">
        <f t="shared" si="0"/>
        <v>45397.840324074074</v>
      </c>
      <c r="B62" s="266"/>
      <c r="C62" s="267" t="e">
        <f>HLOOKUP(A62,'Courbe In'!$AA$2:$CD$3,2)</f>
        <v>#VALUE!</v>
      </c>
      <c r="D62" s="267" t="e">
        <f ca="1">HLOOKUP(A62,'Courbe In'!$AA$2:$CD$7,5)</f>
        <v>#VALUE!</v>
      </c>
      <c r="E62" s="267" t="e">
        <f>HLOOKUP(A62,'Courbe In'!$AA$2:$CD$7,4)</f>
        <v>#VALUE!</v>
      </c>
      <c r="F62" s="267" t="e">
        <f ca="1">HLOOKUP(A62,'Courbe In'!$AA$2:$CD$7,6)</f>
        <v>#VALUE!</v>
      </c>
      <c r="G62" s="267" t="e">
        <f>HLOOKUP(A62,'Courbe In'!$AA$2:$CD$8,7)</f>
        <v>#VALUE!</v>
      </c>
      <c r="H62" s="267" t="e">
        <f>HLOOKUP(A62,'Courbe In'!$AA$2:$CD$9,8)</f>
        <v>#VALUE!</v>
      </c>
      <c r="I62" s="266"/>
      <c r="J62" s="327"/>
      <c r="K62" s="268"/>
      <c r="L62" s="267"/>
    </row>
    <row r="63" spans="1:12">
      <c r="A63" s="268">
        <f t="shared" si="0"/>
        <v>45398.840324074074</v>
      </c>
      <c r="B63" s="266"/>
      <c r="C63" s="267" t="e">
        <f>HLOOKUP(A63,'Courbe In'!$AA$2:$CD$3,2)</f>
        <v>#VALUE!</v>
      </c>
      <c r="D63" s="267" t="e">
        <f ca="1">HLOOKUP(A63,'Courbe In'!$AA$2:$CD$7,5)</f>
        <v>#VALUE!</v>
      </c>
      <c r="E63" s="267" t="e">
        <f>HLOOKUP(A63,'Courbe In'!$AA$2:$CD$7,4)</f>
        <v>#VALUE!</v>
      </c>
      <c r="F63" s="267" t="e">
        <f ca="1">HLOOKUP(A63,'Courbe In'!$AA$2:$CD$7,6)</f>
        <v>#VALUE!</v>
      </c>
      <c r="G63" s="267" t="e">
        <f>HLOOKUP(A63,'Courbe In'!$AA$2:$CD$8,7)</f>
        <v>#VALUE!</v>
      </c>
      <c r="H63" s="267" t="e">
        <f>HLOOKUP(A63,'Courbe In'!$AA$2:$CD$9,8)</f>
        <v>#VALUE!</v>
      </c>
      <c r="I63" s="266"/>
      <c r="J63" s="327"/>
      <c r="K63" s="268"/>
      <c r="L63" s="267"/>
    </row>
    <row r="64" spans="1:12">
      <c r="A64" s="268">
        <f t="shared" si="0"/>
        <v>45399.840324074074</v>
      </c>
      <c r="B64" s="266"/>
      <c r="C64" s="267" t="e">
        <f>HLOOKUP(A64,'Courbe In'!$AA$2:$CD$3,2)</f>
        <v>#VALUE!</v>
      </c>
      <c r="D64" s="267" t="e">
        <f ca="1">HLOOKUP(A64,'Courbe In'!$AA$2:$CD$7,5)</f>
        <v>#VALUE!</v>
      </c>
      <c r="E64" s="267" t="e">
        <f>HLOOKUP(A64,'Courbe In'!$AA$2:$CD$7,4)</f>
        <v>#VALUE!</v>
      </c>
      <c r="F64" s="267" t="e">
        <f ca="1">HLOOKUP(A64,'Courbe In'!$AA$2:$CD$7,6)</f>
        <v>#VALUE!</v>
      </c>
      <c r="G64" s="267" t="e">
        <f>HLOOKUP(A64,'Courbe In'!$AA$2:$CD$8,7)</f>
        <v>#VALUE!</v>
      </c>
      <c r="H64" s="267" t="e">
        <f>HLOOKUP(A64,'Courbe In'!$AA$2:$CD$9,8)</f>
        <v>#VALUE!</v>
      </c>
      <c r="I64" s="266"/>
      <c r="J64" s="327"/>
      <c r="K64" s="268"/>
      <c r="L64" s="267"/>
    </row>
    <row r="65" spans="1:12">
      <c r="A65" s="268">
        <f t="shared" si="0"/>
        <v>45400.840324074074</v>
      </c>
      <c r="B65" s="266"/>
      <c r="C65" s="267" t="e">
        <f>HLOOKUP(A65,'Courbe In'!$AA$2:$CD$3,2)</f>
        <v>#VALUE!</v>
      </c>
      <c r="D65" s="267" t="e">
        <f ca="1">HLOOKUP(A65,'Courbe In'!$AA$2:$CD$7,5)</f>
        <v>#VALUE!</v>
      </c>
      <c r="E65" s="267" t="e">
        <f>HLOOKUP(A65,'Courbe In'!$AA$2:$CD$7,4)</f>
        <v>#VALUE!</v>
      </c>
      <c r="F65" s="267" t="e">
        <f ca="1">HLOOKUP(A65,'Courbe In'!$AA$2:$CD$7,6)</f>
        <v>#VALUE!</v>
      </c>
      <c r="G65" s="267" t="e">
        <f>HLOOKUP(A65,'Courbe In'!$AA$2:$CD$8,7)</f>
        <v>#VALUE!</v>
      </c>
      <c r="H65" s="267" t="e">
        <f>HLOOKUP(A65,'Courbe In'!$AA$2:$CD$9,8)</f>
        <v>#VALUE!</v>
      </c>
      <c r="I65" s="266"/>
      <c r="J65" s="327"/>
      <c r="K65" s="268"/>
      <c r="L65" s="267"/>
    </row>
    <row r="66" spans="1:12">
      <c r="A66" s="268">
        <f t="shared" si="0"/>
        <v>45401.840324074074</v>
      </c>
      <c r="B66" s="266"/>
      <c r="C66" s="267" t="e">
        <f>HLOOKUP(A66,'Courbe In'!$AA$2:$CD$3,2)</f>
        <v>#VALUE!</v>
      </c>
      <c r="D66" s="267" t="e">
        <f ca="1">HLOOKUP(A66,'Courbe In'!$AA$2:$CD$7,5)</f>
        <v>#VALUE!</v>
      </c>
      <c r="E66" s="267" t="e">
        <f>HLOOKUP(A66,'Courbe In'!$AA$2:$CD$7,4)</f>
        <v>#VALUE!</v>
      </c>
      <c r="F66" s="267" t="e">
        <f ca="1">HLOOKUP(A66,'Courbe In'!$AA$2:$CD$7,6)</f>
        <v>#VALUE!</v>
      </c>
      <c r="G66" s="267" t="e">
        <f>HLOOKUP(A66,'Courbe In'!$AA$2:$CD$8,7)</f>
        <v>#VALUE!</v>
      </c>
      <c r="H66" s="267" t="e">
        <f>HLOOKUP(A66,'Courbe In'!$AA$2:$CD$9,8)</f>
        <v>#VALUE!</v>
      </c>
      <c r="I66" s="266"/>
      <c r="J66" s="327"/>
      <c r="K66" s="268"/>
      <c r="L66" s="267"/>
    </row>
    <row r="67" spans="1:12">
      <c r="A67" s="268">
        <f t="shared" si="0"/>
        <v>45402.840324074074</v>
      </c>
      <c r="B67" s="266"/>
      <c r="C67" s="267" t="e">
        <f>HLOOKUP(A67,'Courbe In'!$AA$2:$CD$3,2)</f>
        <v>#VALUE!</v>
      </c>
      <c r="D67" s="267" t="e">
        <f ca="1">HLOOKUP(A67,'Courbe In'!$AA$2:$CD$7,5)</f>
        <v>#VALUE!</v>
      </c>
      <c r="E67" s="267" t="e">
        <f>HLOOKUP(A67,'Courbe In'!$AA$2:$CD$7,4)</f>
        <v>#VALUE!</v>
      </c>
      <c r="F67" s="267" t="e">
        <f ca="1">HLOOKUP(A67,'Courbe In'!$AA$2:$CD$7,6)</f>
        <v>#VALUE!</v>
      </c>
      <c r="G67" s="267" t="e">
        <f>HLOOKUP(A67,'Courbe In'!$AA$2:$CD$8,7)</f>
        <v>#VALUE!</v>
      </c>
      <c r="H67" s="267" t="e">
        <f>HLOOKUP(A67,'Courbe In'!$AA$2:$CD$9,8)</f>
        <v>#VALUE!</v>
      </c>
      <c r="I67" s="266"/>
      <c r="J67" s="327"/>
      <c r="K67" s="268"/>
      <c r="L67" s="267"/>
    </row>
    <row r="68" spans="1:12">
      <c r="A68" s="268">
        <f t="shared" ref="A68:A131" si="1">A67+1</f>
        <v>45403.840324074074</v>
      </c>
      <c r="B68" s="266"/>
      <c r="C68" s="267" t="e">
        <f>HLOOKUP(A68,'Courbe In'!$AA$2:$CD$3,2)</f>
        <v>#VALUE!</v>
      </c>
      <c r="D68" s="267" t="e">
        <f ca="1">HLOOKUP(A68,'Courbe In'!$AA$2:$CD$7,5)</f>
        <v>#VALUE!</v>
      </c>
      <c r="E68" s="267" t="e">
        <f>HLOOKUP(A68,'Courbe In'!$AA$2:$CD$7,4)</f>
        <v>#VALUE!</v>
      </c>
      <c r="F68" s="267" t="e">
        <f ca="1">HLOOKUP(A68,'Courbe In'!$AA$2:$CD$7,6)</f>
        <v>#VALUE!</v>
      </c>
      <c r="G68" s="267" t="e">
        <f>HLOOKUP(A68,'Courbe In'!$AA$2:$CD$8,7)</f>
        <v>#VALUE!</v>
      </c>
      <c r="H68" s="267" t="e">
        <f>HLOOKUP(A68,'Courbe In'!$AA$2:$CD$9,8)</f>
        <v>#VALUE!</v>
      </c>
      <c r="I68" s="266"/>
      <c r="J68" s="327"/>
      <c r="K68" s="268"/>
      <c r="L68" s="267"/>
    </row>
    <row r="69" spans="1:12">
      <c r="A69" s="268">
        <f t="shared" si="1"/>
        <v>45404.840324074074</v>
      </c>
      <c r="B69" s="266"/>
      <c r="C69" s="267" t="e">
        <f>HLOOKUP(A69,'Courbe In'!$AA$2:$CD$3,2)</f>
        <v>#VALUE!</v>
      </c>
      <c r="D69" s="267" t="e">
        <f ca="1">HLOOKUP(A69,'Courbe In'!$AA$2:$CD$7,5)</f>
        <v>#VALUE!</v>
      </c>
      <c r="E69" s="267" t="e">
        <f>HLOOKUP(A69,'Courbe In'!$AA$2:$CD$7,4)</f>
        <v>#VALUE!</v>
      </c>
      <c r="F69" s="267" t="e">
        <f ca="1">HLOOKUP(A69,'Courbe In'!$AA$2:$CD$7,6)</f>
        <v>#VALUE!</v>
      </c>
      <c r="G69" s="267" t="e">
        <f>HLOOKUP(A69,'Courbe In'!$AA$2:$CD$8,7)</f>
        <v>#VALUE!</v>
      </c>
      <c r="H69" s="267" t="e">
        <f>HLOOKUP(A69,'Courbe In'!$AA$2:$CD$9,8)</f>
        <v>#VALUE!</v>
      </c>
      <c r="I69" s="266"/>
      <c r="J69" s="327"/>
      <c r="K69" s="268"/>
      <c r="L69" s="267"/>
    </row>
    <row r="70" spans="1:12">
      <c r="A70" s="268">
        <f t="shared" si="1"/>
        <v>45405.840324074074</v>
      </c>
      <c r="B70" s="266"/>
      <c r="C70" s="267" t="e">
        <f>HLOOKUP(A70,'Courbe In'!$AA$2:$CD$3,2)</f>
        <v>#VALUE!</v>
      </c>
      <c r="D70" s="267" t="e">
        <f ca="1">HLOOKUP(A70,'Courbe In'!$AA$2:$CD$7,5)</f>
        <v>#VALUE!</v>
      </c>
      <c r="E70" s="267" t="e">
        <f>HLOOKUP(A70,'Courbe In'!$AA$2:$CD$7,4)</f>
        <v>#VALUE!</v>
      </c>
      <c r="F70" s="267" t="e">
        <f ca="1">HLOOKUP(A70,'Courbe In'!$AA$2:$CD$7,6)</f>
        <v>#VALUE!</v>
      </c>
      <c r="G70" s="267" t="e">
        <f>HLOOKUP(A70,'Courbe In'!$AA$2:$CD$8,7)</f>
        <v>#VALUE!</v>
      </c>
      <c r="H70" s="267" t="e">
        <f>HLOOKUP(A70,'Courbe In'!$AA$2:$CD$9,8)</f>
        <v>#VALUE!</v>
      </c>
      <c r="I70" s="266"/>
      <c r="J70" s="327"/>
      <c r="K70" s="268"/>
      <c r="L70" s="267"/>
    </row>
    <row r="71" spans="1:12">
      <c r="A71" s="268">
        <f t="shared" si="1"/>
        <v>45406.840324074074</v>
      </c>
      <c r="B71" s="266"/>
      <c r="C71" s="267" t="e">
        <f>HLOOKUP(A71,'Courbe In'!$AA$2:$CD$3,2)</f>
        <v>#VALUE!</v>
      </c>
      <c r="D71" s="267" t="e">
        <f ca="1">HLOOKUP(A71,'Courbe In'!$AA$2:$CD$7,5)</f>
        <v>#VALUE!</v>
      </c>
      <c r="E71" s="267" t="e">
        <f>HLOOKUP(A71,'Courbe In'!$AA$2:$CD$7,4)</f>
        <v>#VALUE!</v>
      </c>
      <c r="F71" s="267" t="e">
        <f ca="1">HLOOKUP(A71,'Courbe In'!$AA$2:$CD$7,6)</f>
        <v>#VALUE!</v>
      </c>
      <c r="G71" s="267" t="e">
        <f>HLOOKUP(A71,'Courbe In'!$AA$2:$CD$8,7)</f>
        <v>#VALUE!</v>
      </c>
      <c r="H71" s="267" t="e">
        <f>HLOOKUP(A71,'Courbe In'!$AA$2:$CD$9,8)</f>
        <v>#VALUE!</v>
      </c>
      <c r="I71" s="266"/>
      <c r="J71" s="327"/>
      <c r="K71" s="268"/>
      <c r="L71" s="267"/>
    </row>
    <row r="72" spans="1:12">
      <c r="A72" s="268">
        <f t="shared" si="1"/>
        <v>45407.840324074074</v>
      </c>
      <c r="B72" s="266"/>
      <c r="C72" s="267" t="e">
        <f>HLOOKUP(A72,'Courbe In'!$AA$2:$CD$3,2)</f>
        <v>#VALUE!</v>
      </c>
      <c r="D72" s="267" t="e">
        <f ca="1">HLOOKUP(A72,'Courbe In'!$AA$2:$CD$7,5)</f>
        <v>#VALUE!</v>
      </c>
      <c r="E72" s="267" t="e">
        <f>HLOOKUP(A72,'Courbe In'!$AA$2:$CD$7,4)</f>
        <v>#VALUE!</v>
      </c>
      <c r="F72" s="267" t="e">
        <f ca="1">HLOOKUP(A72,'Courbe In'!$AA$2:$CD$7,6)</f>
        <v>#VALUE!</v>
      </c>
      <c r="G72" s="267" t="e">
        <f>HLOOKUP(A72,'Courbe In'!$AA$2:$CD$8,7)</f>
        <v>#VALUE!</v>
      </c>
      <c r="H72" s="267" t="e">
        <f>HLOOKUP(A72,'Courbe In'!$AA$2:$CD$9,8)</f>
        <v>#VALUE!</v>
      </c>
      <c r="I72" s="266"/>
      <c r="J72" s="327"/>
      <c r="K72" s="268"/>
      <c r="L72" s="267"/>
    </row>
    <row r="73" spans="1:12">
      <c r="A73" s="268">
        <f t="shared" si="1"/>
        <v>45408.840324074074</v>
      </c>
      <c r="B73" s="266"/>
      <c r="C73" s="267" t="e">
        <f>HLOOKUP(A73,'Courbe In'!$AA$2:$CD$3,2)</f>
        <v>#VALUE!</v>
      </c>
      <c r="D73" s="267" t="e">
        <f ca="1">HLOOKUP(A73,'Courbe In'!$AA$2:$CD$7,5)</f>
        <v>#VALUE!</v>
      </c>
      <c r="E73" s="267" t="e">
        <f>HLOOKUP(A73,'Courbe In'!$AA$2:$CD$7,4)</f>
        <v>#VALUE!</v>
      </c>
      <c r="F73" s="267" t="e">
        <f ca="1">HLOOKUP(A73,'Courbe In'!$AA$2:$CD$7,6)</f>
        <v>#VALUE!</v>
      </c>
      <c r="G73" s="267" t="e">
        <f>HLOOKUP(A73,'Courbe In'!$AA$2:$CD$8,7)</f>
        <v>#VALUE!</v>
      </c>
      <c r="H73" s="267" t="e">
        <f>HLOOKUP(A73,'Courbe In'!$AA$2:$CD$9,8)</f>
        <v>#VALUE!</v>
      </c>
      <c r="I73" s="266"/>
      <c r="J73" s="327"/>
      <c r="K73" s="268"/>
      <c r="L73" s="267"/>
    </row>
    <row r="74" spans="1:12">
      <c r="A74" s="268">
        <f t="shared" si="1"/>
        <v>45409.840324074074</v>
      </c>
      <c r="B74" s="266"/>
      <c r="C74" s="267" t="e">
        <f>HLOOKUP(A74,'Courbe In'!$AA$2:$CD$3,2)</f>
        <v>#VALUE!</v>
      </c>
      <c r="D74" s="267" t="e">
        <f ca="1">HLOOKUP(A74,'Courbe In'!$AA$2:$CD$7,5)</f>
        <v>#VALUE!</v>
      </c>
      <c r="E74" s="267" t="e">
        <f>HLOOKUP(A74,'Courbe In'!$AA$2:$CD$7,4)</f>
        <v>#VALUE!</v>
      </c>
      <c r="F74" s="267" t="e">
        <f ca="1">HLOOKUP(A74,'Courbe In'!$AA$2:$CD$7,6)</f>
        <v>#VALUE!</v>
      </c>
      <c r="G74" s="267" t="e">
        <f>HLOOKUP(A74,'Courbe In'!$AA$2:$CD$8,7)</f>
        <v>#VALUE!</v>
      </c>
      <c r="H74" s="267" t="e">
        <f>HLOOKUP(A74,'Courbe In'!$AA$2:$CD$9,8)</f>
        <v>#VALUE!</v>
      </c>
      <c r="I74" s="266"/>
      <c r="J74" s="327"/>
      <c r="K74" s="268"/>
      <c r="L74" s="267"/>
    </row>
    <row r="75" spans="1:12">
      <c r="A75" s="268">
        <f t="shared" si="1"/>
        <v>45410.840324074074</v>
      </c>
      <c r="B75" s="266"/>
      <c r="C75" s="267" t="e">
        <f>HLOOKUP(A75,'Courbe In'!$AA$2:$CD$3,2)</f>
        <v>#VALUE!</v>
      </c>
      <c r="D75" s="267" t="e">
        <f ca="1">HLOOKUP(A75,'Courbe In'!$AA$2:$CD$7,5)</f>
        <v>#VALUE!</v>
      </c>
      <c r="E75" s="267" t="e">
        <f>HLOOKUP(A75,'Courbe In'!$AA$2:$CD$7,4)</f>
        <v>#VALUE!</v>
      </c>
      <c r="F75" s="267" t="e">
        <f ca="1">HLOOKUP(A75,'Courbe In'!$AA$2:$CD$7,6)</f>
        <v>#VALUE!</v>
      </c>
      <c r="G75" s="267" t="e">
        <f>HLOOKUP(A75,'Courbe In'!$AA$2:$CD$8,7)</f>
        <v>#VALUE!</v>
      </c>
      <c r="H75" s="267" t="e">
        <f>HLOOKUP(A75,'Courbe In'!$AA$2:$CD$9,8)</f>
        <v>#VALUE!</v>
      </c>
      <c r="I75" s="266"/>
      <c r="J75" s="327"/>
      <c r="K75" s="268"/>
      <c r="L75" s="267"/>
    </row>
    <row r="76" spans="1:12">
      <c r="A76" s="268">
        <f t="shared" si="1"/>
        <v>45411.840324074074</v>
      </c>
      <c r="B76" s="266"/>
      <c r="C76" s="267" t="e">
        <f>HLOOKUP(A76,'Courbe In'!$AA$2:$CD$3,2)</f>
        <v>#VALUE!</v>
      </c>
      <c r="D76" s="267" t="e">
        <f ca="1">HLOOKUP(A76,'Courbe In'!$AA$2:$CD$7,5)</f>
        <v>#VALUE!</v>
      </c>
      <c r="E76" s="267" t="e">
        <f>HLOOKUP(A76,'Courbe In'!$AA$2:$CD$7,4)</f>
        <v>#VALUE!</v>
      </c>
      <c r="F76" s="267" t="e">
        <f ca="1">HLOOKUP(A76,'Courbe In'!$AA$2:$CD$7,6)</f>
        <v>#VALUE!</v>
      </c>
      <c r="G76" s="267" t="e">
        <f>HLOOKUP(A76,'Courbe In'!$AA$2:$CD$8,7)</f>
        <v>#VALUE!</v>
      </c>
      <c r="H76" s="267" t="e">
        <f>HLOOKUP(A76,'Courbe In'!$AA$2:$CD$9,8)</f>
        <v>#VALUE!</v>
      </c>
      <c r="I76" s="266"/>
      <c r="J76" s="327"/>
      <c r="K76" s="268"/>
      <c r="L76" s="267"/>
    </row>
    <row r="77" spans="1:12">
      <c r="A77" s="268">
        <f t="shared" si="1"/>
        <v>45412.840324074074</v>
      </c>
      <c r="B77" s="266"/>
      <c r="C77" s="267" t="e">
        <f>HLOOKUP(A77,'Courbe In'!$AA$2:$CD$3,2)</f>
        <v>#VALUE!</v>
      </c>
      <c r="D77" s="267" t="e">
        <f ca="1">HLOOKUP(A77,'Courbe In'!$AA$2:$CD$7,5)</f>
        <v>#VALUE!</v>
      </c>
      <c r="E77" s="267" t="e">
        <f>HLOOKUP(A77,'Courbe In'!$AA$2:$CD$7,4)</f>
        <v>#VALUE!</v>
      </c>
      <c r="F77" s="267" t="e">
        <f ca="1">HLOOKUP(A77,'Courbe In'!$AA$2:$CD$7,6)</f>
        <v>#VALUE!</v>
      </c>
      <c r="G77" s="267" t="e">
        <f>HLOOKUP(A77,'Courbe In'!$AA$2:$CD$8,7)</f>
        <v>#VALUE!</v>
      </c>
      <c r="H77" s="267" t="e">
        <f>HLOOKUP(A77,'Courbe In'!$AA$2:$CD$9,8)</f>
        <v>#VALUE!</v>
      </c>
      <c r="I77" s="266"/>
      <c r="J77" s="327"/>
      <c r="K77" s="268"/>
      <c r="L77" s="267"/>
    </row>
    <row r="78" spans="1:12">
      <c r="A78" s="268">
        <f t="shared" si="1"/>
        <v>45413.840324074074</v>
      </c>
      <c r="B78" s="266"/>
      <c r="C78" s="267" t="e">
        <f>HLOOKUP(A78,'Courbe In'!$AA$2:$CD$3,2)</f>
        <v>#VALUE!</v>
      </c>
      <c r="D78" s="267" t="e">
        <f ca="1">HLOOKUP(A78,'Courbe In'!$AA$2:$CD$7,5)</f>
        <v>#VALUE!</v>
      </c>
      <c r="E78" s="267" t="e">
        <f>HLOOKUP(A78,'Courbe In'!$AA$2:$CD$7,4)</f>
        <v>#VALUE!</v>
      </c>
      <c r="F78" s="267" t="e">
        <f ca="1">HLOOKUP(A78,'Courbe In'!$AA$2:$CD$7,6)</f>
        <v>#VALUE!</v>
      </c>
      <c r="G78" s="267" t="e">
        <f>HLOOKUP(A78,'Courbe In'!$AA$2:$CD$8,7)</f>
        <v>#VALUE!</v>
      </c>
      <c r="H78" s="267" t="e">
        <f>HLOOKUP(A78,'Courbe In'!$AA$2:$CD$9,8)</f>
        <v>#VALUE!</v>
      </c>
      <c r="I78" s="266"/>
      <c r="J78" s="327"/>
      <c r="K78" s="268"/>
      <c r="L78" s="267"/>
    </row>
    <row r="79" spans="1:12">
      <c r="A79" s="268">
        <f t="shared" si="1"/>
        <v>45414.840324074074</v>
      </c>
      <c r="B79" s="266"/>
      <c r="C79" s="267" t="e">
        <f>HLOOKUP(A79,'Courbe In'!$AA$2:$CD$3,2)</f>
        <v>#VALUE!</v>
      </c>
      <c r="D79" s="267" t="e">
        <f ca="1">HLOOKUP(A79,'Courbe In'!$AA$2:$CD$7,5)</f>
        <v>#VALUE!</v>
      </c>
      <c r="E79" s="267" t="e">
        <f>HLOOKUP(A79,'Courbe In'!$AA$2:$CD$7,4)</f>
        <v>#VALUE!</v>
      </c>
      <c r="F79" s="267" t="e">
        <f ca="1">HLOOKUP(A79,'Courbe In'!$AA$2:$CD$7,6)</f>
        <v>#VALUE!</v>
      </c>
      <c r="G79" s="267" t="e">
        <f>HLOOKUP(A79,'Courbe In'!$AA$2:$CD$8,7)</f>
        <v>#VALUE!</v>
      </c>
      <c r="H79" s="267" t="e">
        <f>HLOOKUP(A79,'Courbe In'!$AA$2:$CD$9,8)</f>
        <v>#VALUE!</v>
      </c>
      <c r="I79" s="266"/>
      <c r="J79" s="327"/>
      <c r="K79" s="268"/>
      <c r="L79" s="267"/>
    </row>
    <row r="80" spans="1:12">
      <c r="A80" s="268">
        <f t="shared" si="1"/>
        <v>45415.840324074074</v>
      </c>
      <c r="B80" s="266"/>
      <c r="C80" s="267" t="e">
        <f>HLOOKUP(A80,'Courbe In'!$AA$2:$CD$3,2)</f>
        <v>#VALUE!</v>
      </c>
      <c r="D80" s="267" t="e">
        <f ca="1">HLOOKUP(A80,'Courbe In'!$AA$2:$CD$7,5)</f>
        <v>#VALUE!</v>
      </c>
      <c r="E80" s="267" t="e">
        <f>HLOOKUP(A80,'Courbe In'!$AA$2:$CD$7,4)</f>
        <v>#VALUE!</v>
      </c>
      <c r="F80" s="267" t="e">
        <f ca="1">HLOOKUP(A80,'Courbe In'!$AA$2:$CD$7,6)</f>
        <v>#VALUE!</v>
      </c>
      <c r="G80" s="267" t="e">
        <f>HLOOKUP(A80,'Courbe In'!$AA$2:$CD$8,7)</f>
        <v>#VALUE!</v>
      </c>
      <c r="H80" s="267" t="e">
        <f>HLOOKUP(A80,'Courbe In'!$AA$2:$CD$9,8)</f>
        <v>#VALUE!</v>
      </c>
      <c r="I80" s="266"/>
      <c r="J80" s="327"/>
      <c r="K80" s="268"/>
      <c r="L80" s="267"/>
    </row>
    <row r="81" spans="1:12">
      <c r="A81" s="268">
        <f t="shared" si="1"/>
        <v>45416.840324074074</v>
      </c>
      <c r="B81" s="266"/>
      <c r="C81" s="267" t="e">
        <f>HLOOKUP(A81,'Courbe In'!$AA$2:$CD$3,2)</f>
        <v>#VALUE!</v>
      </c>
      <c r="D81" s="267" t="e">
        <f ca="1">HLOOKUP(A81,'Courbe In'!$AA$2:$CD$7,5)</f>
        <v>#VALUE!</v>
      </c>
      <c r="E81" s="267" t="e">
        <f>HLOOKUP(A81,'Courbe In'!$AA$2:$CD$7,4)</f>
        <v>#VALUE!</v>
      </c>
      <c r="F81" s="267" t="e">
        <f ca="1">HLOOKUP(A81,'Courbe In'!$AA$2:$CD$7,6)</f>
        <v>#VALUE!</v>
      </c>
      <c r="G81" s="267" t="e">
        <f>HLOOKUP(A81,'Courbe In'!$AA$2:$CD$8,7)</f>
        <v>#VALUE!</v>
      </c>
      <c r="H81" s="267" t="e">
        <f>HLOOKUP(A81,'Courbe In'!$AA$2:$CD$9,8)</f>
        <v>#VALUE!</v>
      </c>
      <c r="I81" s="266"/>
      <c r="J81" s="327"/>
      <c r="K81" s="268"/>
      <c r="L81" s="267"/>
    </row>
    <row r="82" spans="1:12">
      <c r="A82" s="268">
        <f t="shared" si="1"/>
        <v>45417.840324074074</v>
      </c>
      <c r="B82" s="266"/>
      <c r="C82" s="267" t="e">
        <f>HLOOKUP(A82,'Courbe In'!$AA$2:$CD$3,2)</f>
        <v>#VALUE!</v>
      </c>
      <c r="D82" s="267" t="e">
        <f ca="1">HLOOKUP(A82,'Courbe In'!$AA$2:$CD$7,5)</f>
        <v>#VALUE!</v>
      </c>
      <c r="E82" s="267" t="e">
        <f>HLOOKUP(A82,'Courbe In'!$AA$2:$CD$7,4)</f>
        <v>#VALUE!</v>
      </c>
      <c r="F82" s="267" t="e">
        <f ca="1">HLOOKUP(A82,'Courbe In'!$AA$2:$CD$7,6)</f>
        <v>#VALUE!</v>
      </c>
      <c r="G82" s="267" t="e">
        <f>HLOOKUP(A82,'Courbe In'!$AA$2:$CD$8,7)</f>
        <v>#VALUE!</v>
      </c>
      <c r="H82" s="267" t="e">
        <f>HLOOKUP(A82,'Courbe In'!$AA$2:$CD$9,8)</f>
        <v>#VALUE!</v>
      </c>
      <c r="I82" s="266"/>
      <c r="J82" s="327"/>
      <c r="K82" s="268"/>
      <c r="L82" s="267"/>
    </row>
    <row r="83" spans="1:12">
      <c r="A83" s="268">
        <f t="shared" si="1"/>
        <v>45418.840324074074</v>
      </c>
      <c r="B83" s="266"/>
      <c r="C83" s="267" t="e">
        <f>HLOOKUP(A83,'Courbe In'!$AA$2:$CD$3,2)</f>
        <v>#VALUE!</v>
      </c>
      <c r="D83" s="267" t="e">
        <f ca="1">HLOOKUP(A83,'Courbe In'!$AA$2:$CD$7,5)</f>
        <v>#VALUE!</v>
      </c>
      <c r="E83" s="267" t="e">
        <f>HLOOKUP(A83,'Courbe In'!$AA$2:$CD$7,4)</f>
        <v>#VALUE!</v>
      </c>
      <c r="F83" s="267" t="e">
        <f ca="1">HLOOKUP(A83,'Courbe In'!$AA$2:$CD$7,6)</f>
        <v>#VALUE!</v>
      </c>
      <c r="G83" s="267" t="e">
        <f>HLOOKUP(A83,'Courbe In'!$AA$2:$CD$8,7)</f>
        <v>#VALUE!</v>
      </c>
      <c r="H83" s="267" t="e">
        <f>HLOOKUP(A83,'Courbe In'!$AA$2:$CD$9,8)</f>
        <v>#VALUE!</v>
      </c>
      <c r="I83" s="266"/>
      <c r="J83" s="327"/>
      <c r="K83" s="268"/>
      <c r="L83" s="267"/>
    </row>
    <row r="84" spans="1:12">
      <c r="A84" s="268">
        <f t="shared" si="1"/>
        <v>45419.840324074074</v>
      </c>
      <c r="B84" s="266"/>
      <c r="C84" s="267" t="e">
        <f>HLOOKUP(A84,'Courbe In'!$AA$2:$CD$3,2)</f>
        <v>#VALUE!</v>
      </c>
      <c r="D84" s="267" t="e">
        <f ca="1">HLOOKUP(A84,'Courbe In'!$AA$2:$CD$7,5)</f>
        <v>#VALUE!</v>
      </c>
      <c r="E84" s="267" t="e">
        <f>HLOOKUP(A84,'Courbe In'!$AA$2:$CD$7,4)</f>
        <v>#VALUE!</v>
      </c>
      <c r="F84" s="267" t="e">
        <f ca="1">HLOOKUP(A84,'Courbe In'!$AA$2:$CD$7,6)</f>
        <v>#VALUE!</v>
      </c>
      <c r="G84" s="267" t="e">
        <f>HLOOKUP(A84,'Courbe In'!$AA$2:$CD$8,7)</f>
        <v>#VALUE!</v>
      </c>
      <c r="H84" s="267" t="e">
        <f>HLOOKUP(A84,'Courbe In'!$AA$2:$CD$9,8)</f>
        <v>#VALUE!</v>
      </c>
      <c r="I84" s="266"/>
      <c r="J84" s="327"/>
      <c r="K84" s="268"/>
      <c r="L84" s="267"/>
    </row>
    <row r="85" spans="1:12">
      <c r="A85" s="268">
        <f t="shared" si="1"/>
        <v>45420.840324074074</v>
      </c>
      <c r="B85" s="266"/>
      <c r="C85" s="267" t="e">
        <f>HLOOKUP(A85,'Courbe In'!$AA$2:$CD$3,2)</f>
        <v>#VALUE!</v>
      </c>
      <c r="D85" s="267" t="e">
        <f ca="1">HLOOKUP(A85,'Courbe In'!$AA$2:$CD$7,5)</f>
        <v>#VALUE!</v>
      </c>
      <c r="E85" s="267" t="e">
        <f>HLOOKUP(A85,'Courbe In'!$AA$2:$CD$7,4)</f>
        <v>#VALUE!</v>
      </c>
      <c r="F85" s="267" t="e">
        <f ca="1">HLOOKUP(A85,'Courbe In'!$AA$2:$CD$7,6)</f>
        <v>#VALUE!</v>
      </c>
      <c r="G85" s="267" t="e">
        <f>HLOOKUP(A85,'Courbe In'!$AA$2:$CD$8,7)</f>
        <v>#VALUE!</v>
      </c>
      <c r="H85" s="267" t="e">
        <f>HLOOKUP(A85,'Courbe In'!$AA$2:$CD$9,8)</f>
        <v>#VALUE!</v>
      </c>
      <c r="I85" s="266"/>
      <c r="J85" s="327"/>
      <c r="K85" s="268"/>
      <c r="L85" s="267"/>
    </row>
    <row r="86" spans="1:12">
      <c r="A86" s="268">
        <f t="shared" si="1"/>
        <v>45421.840324074074</v>
      </c>
      <c r="B86" s="266"/>
      <c r="C86" s="267" t="e">
        <f>HLOOKUP(A86,'Courbe In'!$AA$2:$CD$3,2)</f>
        <v>#VALUE!</v>
      </c>
      <c r="D86" s="267" t="e">
        <f ca="1">HLOOKUP(A86,'Courbe In'!$AA$2:$CD$7,5)</f>
        <v>#VALUE!</v>
      </c>
      <c r="E86" s="267" t="e">
        <f>HLOOKUP(A86,'Courbe In'!$AA$2:$CD$7,4)</f>
        <v>#VALUE!</v>
      </c>
      <c r="F86" s="267" t="e">
        <f ca="1">HLOOKUP(A86,'Courbe In'!$AA$2:$CD$7,6)</f>
        <v>#VALUE!</v>
      </c>
      <c r="G86" s="267" t="e">
        <f>HLOOKUP(A86,'Courbe In'!$AA$2:$CD$8,7)</f>
        <v>#VALUE!</v>
      </c>
      <c r="H86" s="267" t="e">
        <f>HLOOKUP(A86,'Courbe In'!$AA$2:$CD$9,8)</f>
        <v>#VALUE!</v>
      </c>
      <c r="I86" s="266"/>
      <c r="J86" s="327"/>
      <c r="K86" s="268"/>
      <c r="L86" s="267"/>
    </row>
    <row r="87" spans="1:12">
      <c r="A87" s="268">
        <f t="shared" si="1"/>
        <v>45422.840324074074</v>
      </c>
      <c r="B87" s="266"/>
      <c r="C87" s="267" t="e">
        <f>HLOOKUP(A87,'Courbe In'!$AA$2:$CD$3,2)</f>
        <v>#VALUE!</v>
      </c>
      <c r="D87" s="267" t="e">
        <f ca="1">HLOOKUP(A87,'Courbe In'!$AA$2:$CD$7,5)</f>
        <v>#VALUE!</v>
      </c>
      <c r="E87" s="267" t="e">
        <f>HLOOKUP(A87,'Courbe In'!$AA$2:$CD$7,4)</f>
        <v>#VALUE!</v>
      </c>
      <c r="F87" s="267" t="e">
        <f ca="1">HLOOKUP(A87,'Courbe In'!$AA$2:$CD$7,6)</f>
        <v>#VALUE!</v>
      </c>
      <c r="G87" s="267" t="e">
        <f>HLOOKUP(A87,'Courbe In'!$AA$2:$CD$8,7)</f>
        <v>#VALUE!</v>
      </c>
      <c r="H87" s="267" t="e">
        <f>HLOOKUP(A87,'Courbe In'!$AA$2:$CD$9,8)</f>
        <v>#VALUE!</v>
      </c>
      <c r="I87" s="266"/>
      <c r="J87" s="327"/>
      <c r="K87" s="268"/>
      <c r="L87" s="267"/>
    </row>
    <row r="88" spans="1:12">
      <c r="A88" s="268">
        <f t="shared" si="1"/>
        <v>45423.840324074074</v>
      </c>
      <c r="B88" s="266"/>
      <c r="C88" s="267" t="e">
        <f>HLOOKUP(A88,'Courbe In'!$AA$2:$CD$3,2)</f>
        <v>#VALUE!</v>
      </c>
      <c r="D88" s="267" t="e">
        <f ca="1">HLOOKUP(A88,'Courbe In'!$AA$2:$CD$7,5)</f>
        <v>#VALUE!</v>
      </c>
      <c r="E88" s="267" t="e">
        <f>HLOOKUP(A88,'Courbe In'!$AA$2:$CD$7,4)</f>
        <v>#VALUE!</v>
      </c>
      <c r="F88" s="267" t="e">
        <f ca="1">HLOOKUP(A88,'Courbe In'!$AA$2:$CD$7,6)</f>
        <v>#VALUE!</v>
      </c>
      <c r="G88" s="267" t="e">
        <f>HLOOKUP(A88,'Courbe In'!$AA$2:$CD$8,7)</f>
        <v>#VALUE!</v>
      </c>
      <c r="H88" s="267" t="e">
        <f>HLOOKUP(A88,'Courbe In'!$AA$2:$CD$9,8)</f>
        <v>#VALUE!</v>
      </c>
      <c r="I88" s="266"/>
      <c r="J88" s="327"/>
      <c r="K88" s="268"/>
      <c r="L88" s="267"/>
    </row>
    <row r="89" spans="1:12">
      <c r="A89" s="268">
        <f t="shared" si="1"/>
        <v>45424.840324074074</v>
      </c>
      <c r="B89" s="266"/>
      <c r="C89" s="267" t="e">
        <f>HLOOKUP(A89,'Courbe In'!$AA$2:$CD$3,2)</f>
        <v>#VALUE!</v>
      </c>
      <c r="D89" s="267" t="e">
        <f ca="1">HLOOKUP(A89,'Courbe In'!$AA$2:$CD$7,5)</f>
        <v>#VALUE!</v>
      </c>
      <c r="E89" s="267" t="e">
        <f>HLOOKUP(A89,'Courbe In'!$AA$2:$CD$7,4)</f>
        <v>#VALUE!</v>
      </c>
      <c r="F89" s="267" t="e">
        <f ca="1">HLOOKUP(A89,'Courbe In'!$AA$2:$CD$7,6)</f>
        <v>#VALUE!</v>
      </c>
      <c r="G89" s="267" t="e">
        <f>HLOOKUP(A89,'Courbe In'!$AA$2:$CD$8,7)</f>
        <v>#VALUE!</v>
      </c>
      <c r="H89" s="267" t="e">
        <f>HLOOKUP(A89,'Courbe In'!$AA$2:$CD$9,8)</f>
        <v>#VALUE!</v>
      </c>
      <c r="I89" s="266"/>
      <c r="J89" s="327"/>
      <c r="K89" s="268"/>
      <c r="L89" s="267"/>
    </row>
    <row r="90" spans="1:12">
      <c r="A90" s="268">
        <f t="shared" si="1"/>
        <v>45425.840324074074</v>
      </c>
      <c r="B90" s="266"/>
      <c r="C90" s="267" t="e">
        <f>HLOOKUP(A90,'Courbe In'!$AA$2:$CD$3,2)</f>
        <v>#VALUE!</v>
      </c>
      <c r="D90" s="267" t="e">
        <f ca="1">HLOOKUP(A90,'Courbe In'!$AA$2:$CD$7,5)</f>
        <v>#VALUE!</v>
      </c>
      <c r="E90" s="267" t="e">
        <f>HLOOKUP(A90,'Courbe In'!$AA$2:$CD$7,4)</f>
        <v>#VALUE!</v>
      </c>
      <c r="F90" s="267" t="e">
        <f ca="1">HLOOKUP(A90,'Courbe In'!$AA$2:$CD$7,6)</f>
        <v>#VALUE!</v>
      </c>
      <c r="G90" s="267" t="e">
        <f>HLOOKUP(A90,'Courbe In'!$AA$2:$CD$8,7)</f>
        <v>#VALUE!</v>
      </c>
      <c r="H90" s="267" t="e">
        <f>HLOOKUP(A90,'Courbe In'!$AA$2:$CD$9,8)</f>
        <v>#VALUE!</v>
      </c>
      <c r="I90" s="266"/>
      <c r="J90" s="327"/>
      <c r="K90" s="268"/>
      <c r="L90" s="267"/>
    </row>
    <row r="91" spans="1:12">
      <c r="A91" s="268">
        <f t="shared" si="1"/>
        <v>45426.840324074074</v>
      </c>
      <c r="B91" s="266"/>
      <c r="C91" s="267" t="e">
        <f>HLOOKUP(A91,'Courbe In'!$AA$2:$CD$3,2)</f>
        <v>#VALUE!</v>
      </c>
      <c r="D91" s="267" t="e">
        <f ca="1">HLOOKUP(A91,'Courbe In'!$AA$2:$CD$7,5)</f>
        <v>#VALUE!</v>
      </c>
      <c r="E91" s="267" t="e">
        <f>HLOOKUP(A91,'Courbe In'!$AA$2:$CD$7,4)</f>
        <v>#VALUE!</v>
      </c>
      <c r="F91" s="267" t="e">
        <f ca="1">HLOOKUP(A91,'Courbe In'!$AA$2:$CD$7,6)</f>
        <v>#VALUE!</v>
      </c>
      <c r="G91" s="267" t="e">
        <f>HLOOKUP(A91,'Courbe In'!$AA$2:$CD$8,7)</f>
        <v>#VALUE!</v>
      </c>
      <c r="H91" s="267" t="e">
        <f>HLOOKUP(A91,'Courbe In'!$AA$2:$CD$9,8)</f>
        <v>#VALUE!</v>
      </c>
      <c r="I91" s="266"/>
      <c r="J91" s="327"/>
      <c r="K91" s="268"/>
      <c r="L91" s="267"/>
    </row>
    <row r="92" spans="1:12">
      <c r="A92" s="268">
        <f t="shared" si="1"/>
        <v>45427.840324074074</v>
      </c>
      <c r="B92" s="266"/>
      <c r="C92" s="267" t="e">
        <f>HLOOKUP(A92,'Courbe In'!$AA$2:$CD$3,2)</f>
        <v>#VALUE!</v>
      </c>
      <c r="D92" s="267" t="e">
        <f ca="1">HLOOKUP(A92,'Courbe In'!$AA$2:$CD$7,5)</f>
        <v>#VALUE!</v>
      </c>
      <c r="E92" s="267" t="e">
        <f>HLOOKUP(A92,'Courbe In'!$AA$2:$CD$7,4)</f>
        <v>#VALUE!</v>
      </c>
      <c r="F92" s="267" t="e">
        <f ca="1">HLOOKUP(A92,'Courbe In'!$AA$2:$CD$7,6)</f>
        <v>#VALUE!</v>
      </c>
      <c r="G92" s="267" t="e">
        <f>HLOOKUP(A92,'Courbe In'!$AA$2:$CD$8,7)</f>
        <v>#VALUE!</v>
      </c>
      <c r="H92" s="267" t="e">
        <f>HLOOKUP(A92,'Courbe In'!$AA$2:$CD$9,8)</f>
        <v>#VALUE!</v>
      </c>
      <c r="I92" s="266"/>
      <c r="J92" s="327"/>
      <c r="K92" s="268"/>
      <c r="L92" s="267"/>
    </row>
    <row r="93" spans="1:12">
      <c r="A93" s="268">
        <f t="shared" si="1"/>
        <v>45428.840324074074</v>
      </c>
      <c r="B93" s="266"/>
      <c r="C93" s="267" t="e">
        <f>HLOOKUP(A93,'Courbe In'!$AA$2:$CD$3,2)</f>
        <v>#VALUE!</v>
      </c>
      <c r="D93" s="267" t="e">
        <f ca="1">HLOOKUP(A93,'Courbe In'!$AA$2:$CD$7,5)</f>
        <v>#VALUE!</v>
      </c>
      <c r="E93" s="267" t="e">
        <f>HLOOKUP(A93,'Courbe In'!$AA$2:$CD$7,4)</f>
        <v>#VALUE!</v>
      </c>
      <c r="F93" s="267" t="e">
        <f ca="1">HLOOKUP(A93,'Courbe In'!$AA$2:$CD$7,6)</f>
        <v>#VALUE!</v>
      </c>
      <c r="G93" s="267" t="e">
        <f>HLOOKUP(A93,'Courbe In'!$AA$2:$CD$8,7)</f>
        <v>#VALUE!</v>
      </c>
      <c r="H93" s="267" t="e">
        <f>HLOOKUP(A93,'Courbe In'!$AA$2:$CD$9,8)</f>
        <v>#VALUE!</v>
      </c>
      <c r="I93" s="266"/>
      <c r="J93" s="327"/>
      <c r="K93" s="268"/>
      <c r="L93" s="267"/>
    </row>
    <row r="94" spans="1:12">
      <c r="A94" s="268">
        <f t="shared" si="1"/>
        <v>45429.840324074074</v>
      </c>
      <c r="B94" s="266"/>
      <c r="C94" s="267" t="e">
        <f>HLOOKUP(A94,'Courbe In'!$AA$2:$CD$3,2)</f>
        <v>#VALUE!</v>
      </c>
      <c r="D94" s="267" t="e">
        <f ca="1">HLOOKUP(A94,'Courbe In'!$AA$2:$CD$7,5)</f>
        <v>#VALUE!</v>
      </c>
      <c r="E94" s="267" t="e">
        <f>HLOOKUP(A94,'Courbe In'!$AA$2:$CD$7,4)</f>
        <v>#VALUE!</v>
      </c>
      <c r="F94" s="267" t="e">
        <f ca="1">HLOOKUP(A94,'Courbe In'!$AA$2:$CD$7,6)</f>
        <v>#VALUE!</v>
      </c>
      <c r="G94" s="267" t="e">
        <f>HLOOKUP(A94,'Courbe In'!$AA$2:$CD$8,7)</f>
        <v>#VALUE!</v>
      </c>
      <c r="H94" s="267" t="e">
        <f>HLOOKUP(A94,'Courbe In'!$AA$2:$CD$9,8)</f>
        <v>#VALUE!</v>
      </c>
      <c r="I94" s="266"/>
      <c r="J94" s="327"/>
      <c r="K94" s="268"/>
      <c r="L94" s="267"/>
    </row>
    <row r="95" spans="1:12">
      <c r="A95" s="268">
        <f t="shared" si="1"/>
        <v>45430.840324074074</v>
      </c>
      <c r="B95" s="266"/>
      <c r="C95" s="267" t="e">
        <f>HLOOKUP(A95,'Courbe In'!$AA$2:$CD$3,2)</f>
        <v>#VALUE!</v>
      </c>
      <c r="D95" s="267" t="e">
        <f ca="1">HLOOKUP(A95,'Courbe In'!$AA$2:$CD$7,5)</f>
        <v>#VALUE!</v>
      </c>
      <c r="E95" s="267" t="e">
        <f>HLOOKUP(A95,'Courbe In'!$AA$2:$CD$7,4)</f>
        <v>#VALUE!</v>
      </c>
      <c r="F95" s="267" t="e">
        <f ca="1">HLOOKUP(A95,'Courbe In'!$AA$2:$CD$7,6)</f>
        <v>#VALUE!</v>
      </c>
      <c r="G95" s="267" t="e">
        <f>HLOOKUP(A95,'Courbe In'!$AA$2:$CD$8,7)</f>
        <v>#VALUE!</v>
      </c>
      <c r="H95" s="267" t="e">
        <f>HLOOKUP(A95,'Courbe In'!$AA$2:$CD$9,8)</f>
        <v>#VALUE!</v>
      </c>
      <c r="I95" s="266"/>
      <c r="J95" s="327"/>
      <c r="K95" s="268"/>
      <c r="L95" s="267"/>
    </row>
    <row r="96" spans="1:12">
      <c r="A96" s="268">
        <f t="shared" si="1"/>
        <v>45431.840324074074</v>
      </c>
      <c r="B96" s="266"/>
      <c r="C96" s="267" t="e">
        <f>HLOOKUP(A96,'Courbe In'!$AA$2:$CD$3,2)</f>
        <v>#VALUE!</v>
      </c>
      <c r="D96" s="267" t="e">
        <f ca="1">HLOOKUP(A96,'Courbe In'!$AA$2:$CD$7,5)</f>
        <v>#VALUE!</v>
      </c>
      <c r="E96" s="267" t="e">
        <f>HLOOKUP(A96,'Courbe In'!$AA$2:$CD$7,4)</f>
        <v>#VALUE!</v>
      </c>
      <c r="F96" s="267" t="e">
        <f ca="1">HLOOKUP(A96,'Courbe In'!$AA$2:$CD$7,6)</f>
        <v>#VALUE!</v>
      </c>
      <c r="G96" s="267" t="e">
        <f>HLOOKUP(A96,'Courbe In'!$AA$2:$CD$8,7)</f>
        <v>#VALUE!</v>
      </c>
      <c r="H96" s="267" t="e">
        <f>HLOOKUP(A96,'Courbe In'!$AA$2:$CD$9,8)</f>
        <v>#VALUE!</v>
      </c>
      <c r="I96" s="266"/>
      <c r="J96" s="327"/>
      <c r="K96" s="268"/>
      <c r="L96" s="267"/>
    </row>
    <row r="97" spans="1:12">
      <c r="A97" s="268">
        <f t="shared" si="1"/>
        <v>45432.840324074074</v>
      </c>
      <c r="B97" s="266"/>
      <c r="C97" s="267" t="e">
        <f>HLOOKUP(A97,'Courbe In'!$AA$2:$CD$3,2)</f>
        <v>#VALUE!</v>
      </c>
      <c r="D97" s="267" t="e">
        <f ca="1">HLOOKUP(A97,'Courbe In'!$AA$2:$CD$7,5)</f>
        <v>#VALUE!</v>
      </c>
      <c r="E97" s="267" t="e">
        <f>HLOOKUP(A97,'Courbe In'!$AA$2:$CD$7,4)</f>
        <v>#VALUE!</v>
      </c>
      <c r="F97" s="267" t="e">
        <f ca="1">HLOOKUP(A97,'Courbe In'!$AA$2:$CD$7,6)</f>
        <v>#VALUE!</v>
      </c>
      <c r="G97" s="267" t="e">
        <f>HLOOKUP(A97,'Courbe In'!$AA$2:$CD$8,7)</f>
        <v>#VALUE!</v>
      </c>
      <c r="H97" s="267" t="e">
        <f>HLOOKUP(A97,'Courbe In'!$AA$2:$CD$9,8)</f>
        <v>#VALUE!</v>
      </c>
      <c r="I97" s="266"/>
      <c r="J97" s="327"/>
      <c r="K97" s="268"/>
      <c r="L97" s="267"/>
    </row>
    <row r="98" spans="1:12">
      <c r="A98" s="268">
        <f t="shared" si="1"/>
        <v>45433.840324074074</v>
      </c>
      <c r="B98" s="266"/>
      <c r="C98" s="267" t="e">
        <f>HLOOKUP(A98,'Courbe In'!$AA$2:$CD$3,2)</f>
        <v>#VALUE!</v>
      </c>
      <c r="D98" s="267" t="e">
        <f ca="1">HLOOKUP(A98,'Courbe In'!$AA$2:$CD$7,5)</f>
        <v>#VALUE!</v>
      </c>
      <c r="E98" s="267" t="e">
        <f>HLOOKUP(A98,'Courbe In'!$AA$2:$CD$7,4)</f>
        <v>#VALUE!</v>
      </c>
      <c r="F98" s="267" t="e">
        <f ca="1">HLOOKUP(A98,'Courbe In'!$AA$2:$CD$7,6)</f>
        <v>#VALUE!</v>
      </c>
      <c r="G98" s="267" t="e">
        <f>HLOOKUP(A98,'Courbe In'!$AA$2:$CD$8,7)</f>
        <v>#VALUE!</v>
      </c>
      <c r="H98" s="267" t="e">
        <f>HLOOKUP(A98,'Courbe In'!$AA$2:$CD$9,8)</f>
        <v>#VALUE!</v>
      </c>
      <c r="I98" s="266"/>
      <c r="J98" s="327"/>
      <c r="K98" s="268"/>
      <c r="L98" s="267"/>
    </row>
    <row r="99" spans="1:12">
      <c r="A99" s="268">
        <f t="shared" si="1"/>
        <v>45434.840324074074</v>
      </c>
      <c r="B99" s="266"/>
      <c r="C99" s="267" t="e">
        <f>HLOOKUP(A99,'Courbe In'!$AA$2:$CD$3,2)</f>
        <v>#VALUE!</v>
      </c>
      <c r="D99" s="267" t="e">
        <f ca="1">HLOOKUP(A99,'Courbe In'!$AA$2:$CD$7,5)</f>
        <v>#VALUE!</v>
      </c>
      <c r="E99" s="267" t="e">
        <f>HLOOKUP(A99,'Courbe In'!$AA$2:$CD$7,4)</f>
        <v>#VALUE!</v>
      </c>
      <c r="F99" s="267" t="e">
        <f ca="1">HLOOKUP(A99,'Courbe In'!$AA$2:$CD$7,6)</f>
        <v>#VALUE!</v>
      </c>
      <c r="G99" s="267" t="e">
        <f>HLOOKUP(A99,'Courbe In'!$AA$2:$CD$8,7)</f>
        <v>#VALUE!</v>
      </c>
      <c r="H99" s="267" t="e">
        <f>HLOOKUP(A99,'Courbe In'!$AA$2:$CD$9,8)</f>
        <v>#VALUE!</v>
      </c>
      <c r="I99" s="266"/>
      <c r="J99" s="327"/>
      <c r="K99" s="268"/>
      <c r="L99" s="267"/>
    </row>
    <row r="100" spans="1:12">
      <c r="A100" s="268">
        <f t="shared" si="1"/>
        <v>45435.840324074074</v>
      </c>
      <c r="B100" s="266"/>
      <c r="C100" s="267" t="e">
        <f>HLOOKUP(A100,'Courbe In'!$AA$2:$CD$3,2)</f>
        <v>#VALUE!</v>
      </c>
      <c r="D100" s="267" t="e">
        <f ca="1">HLOOKUP(A100,'Courbe In'!$AA$2:$CD$7,5)</f>
        <v>#VALUE!</v>
      </c>
      <c r="E100" s="267" t="e">
        <f>HLOOKUP(A100,'Courbe In'!$AA$2:$CD$7,4)</f>
        <v>#VALUE!</v>
      </c>
      <c r="F100" s="267" t="e">
        <f ca="1">HLOOKUP(A100,'Courbe In'!$AA$2:$CD$7,6)</f>
        <v>#VALUE!</v>
      </c>
      <c r="G100" s="267" t="e">
        <f>HLOOKUP(A100,'Courbe In'!$AA$2:$CD$8,7)</f>
        <v>#VALUE!</v>
      </c>
      <c r="H100" s="267" t="e">
        <f>HLOOKUP(A100,'Courbe In'!$AA$2:$CD$9,8)</f>
        <v>#VALUE!</v>
      </c>
      <c r="I100" s="266"/>
      <c r="J100" s="327"/>
      <c r="K100" s="268"/>
      <c r="L100" s="267"/>
    </row>
    <row r="101" spans="1:12">
      <c r="A101" s="268">
        <f t="shared" si="1"/>
        <v>45436.840324074074</v>
      </c>
      <c r="B101" s="266"/>
      <c r="C101" s="267" t="e">
        <f>HLOOKUP(A101,'Courbe In'!$AA$2:$CD$3,2)</f>
        <v>#VALUE!</v>
      </c>
      <c r="D101" s="267" t="e">
        <f ca="1">HLOOKUP(A101,'Courbe In'!$AA$2:$CD$7,5)</f>
        <v>#VALUE!</v>
      </c>
      <c r="E101" s="267" t="e">
        <f>HLOOKUP(A101,'Courbe In'!$AA$2:$CD$7,4)</f>
        <v>#VALUE!</v>
      </c>
      <c r="F101" s="267" t="e">
        <f ca="1">HLOOKUP(A101,'Courbe In'!$AA$2:$CD$7,6)</f>
        <v>#VALUE!</v>
      </c>
      <c r="G101" s="267" t="e">
        <f>HLOOKUP(A101,'Courbe In'!$AA$2:$CD$8,7)</f>
        <v>#VALUE!</v>
      </c>
      <c r="H101" s="267" t="e">
        <f>HLOOKUP(A101,'Courbe In'!$AA$2:$CD$9,8)</f>
        <v>#VALUE!</v>
      </c>
      <c r="I101" s="266"/>
      <c r="J101" s="327"/>
      <c r="K101" s="268"/>
      <c r="L101" s="267"/>
    </row>
    <row r="102" spans="1:12">
      <c r="A102" s="268">
        <f t="shared" si="1"/>
        <v>45437.840324074074</v>
      </c>
      <c r="B102" s="266"/>
      <c r="C102" s="267" t="e">
        <f>HLOOKUP(A102,'Courbe In'!$AA$2:$CD$3,2)</f>
        <v>#VALUE!</v>
      </c>
      <c r="D102" s="267" t="e">
        <f ca="1">HLOOKUP(A102,'Courbe In'!$AA$2:$CD$7,5)</f>
        <v>#VALUE!</v>
      </c>
      <c r="E102" s="267" t="e">
        <f>HLOOKUP(A102,'Courbe In'!$AA$2:$CD$7,4)</f>
        <v>#VALUE!</v>
      </c>
      <c r="F102" s="267" t="e">
        <f ca="1">HLOOKUP(A102,'Courbe In'!$AA$2:$CD$7,6)</f>
        <v>#VALUE!</v>
      </c>
      <c r="G102" s="267" t="e">
        <f>HLOOKUP(A102,'Courbe In'!$AA$2:$CD$8,7)</f>
        <v>#VALUE!</v>
      </c>
      <c r="H102" s="267" t="e">
        <f>HLOOKUP(A102,'Courbe In'!$AA$2:$CD$9,8)</f>
        <v>#VALUE!</v>
      </c>
      <c r="I102" s="266"/>
      <c r="J102" s="327"/>
      <c r="K102" s="268"/>
      <c r="L102" s="267"/>
    </row>
    <row r="103" spans="1:12">
      <c r="A103" s="268">
        <f t="shared" si="1"/>
        <v>45438.840324074074</v>
      </c>
      <c r="B103" s="266"/>
      <c r="C103" s="267" t="e">
        <f>HLOOKUP(A103,'Courbe In'!$AA$2:$CD$3,2)</f>
        <v>#VALUE!</v>
      </c>
      <c r="D103" s="267" t="e">
        <f ca="1">HLOOKUP(A103,'Courbe In'!$AA$2:$CD$7,5)</f>
        <v>#VALUE!</v>
      </c>
      <c r="E103" s="267" t="e">
        <f>HLOOKUP(A103,'Courbe In'!$AA$2:$CD$7,4)</f>
        <v>#VALUE!</v>
      </c>
      <c r="F103" s="267" t="e">
        <f ca="1">HLOOKUP(A103,'Courbe In'!$AA$2:$CD$7,6)</f>
        <v>#VALUE!</v>
      </c>
      <c r="G103" s="267" t="e">
        <f>HLOOKUP(A103,'Courbe In'!$AA$2:$CD$8,7)</f>
        <v>#VALUE!</v>
      </c>
      <c r="H103" s="267" t="e">
        <f>HLOOKUP(A103,'Courbe In'!$AA$2:$CD$9,8)</f>
        <v>#VALUE!</v>
      </c>
      <c r="I103" s="266"/>
      <c r="J103" s="327"/>
      <c r="K103" s="268"/>
      <c r="L103" s="267"/>
    </row>
    <row r="104" spans="1:12">
      <c r="A104" s="268">
        <f t="shared" si="1"/>
        <v>45439.840324074074</v>
      </c>
      <c r="B104" s="266"/>
      <c r="C104" s="267" t="e">
        <f>HLOOKUP(A104,'Courbe In'!$AA$2:$CD$3,2)</f>
        <v>#VALUE!</v>
      </c>
      <c r="D104" s="267" t="e">
        <f ca="1">HLOOKUP(A104,'Courbe In'!$AA$2:$CD$7,5)</f>
        <v>#VALUE!</v>
      </c>
      <c r="E104" s="267" t="e">
        <f>HLOOKUP(A104,'Courbe In'!$AA$2:$CD$7,4)</f>
        <v>#VALUE!</v>
      </c>
      <c r="F104" s="267" t="e">
        <f ca="1">HLOOKUP(A104,'Courbe In'!$AA$2:$CD$7,6)</f>
        <v>#VALUE!</v>
      </c>
      <c r="G104" s="267" t="e">
        <f>HLOOKUP(A104,'Courbe In'!$AA$2:$CD$8,7)</f>
        <v>#VALUE!</v>
      </c>
      <c r="H104" s="267" t="e">
        <f>HLOOKUP(A104,'Courbe In'!$AA$2:$CD$9,8)</f>
        <v>#VALUE!</v>
      </c>
      <c r="I104" s="266"/>
      <c r="J104" s="327"/>
      <c r="K104" s="268"/>
      <c r="L104" s="267"/>
    </row>
    <row r="105" spans="1:12">
      <c r="A105" s="268">
        <f t="shared" si="1"/>
        <v>45440.840324074074</v>
      </c>
      <c r="B105" s="266"/>
      <c r="C105" s="267" t="e">
        <f>HLOOKUP(A105,'Courbe In'!$AA$2:$CD$3,2)</f>
        <v>#VALUE!</v>
      </c>
      <c r="D105" s="267" t="e">
        <f ca="1">HLOOKUP(A105,'Courbe In'!$AA$2:$CD$7,5)</f>
        <v>#VALUE!</v>
      </c>
      <c r="E105" s="267" t="e">
        <f>HLOOKUP(A105,'Courbe In'!$AA$2:$CD$7,4)</f>
        <v>#VALUE!</v>
      </c>
      <c r="F105" s="267" t="e">
        <f ca="1">HLOOKUP(A105,'Courbe In'!$AA$2:$CD$7,6)</f>
        <v>#VALUE!</v>
      </c>
      <c r="G105" s="267" t="e">
        <f>HLOOKUP(A105,'Courbe In'!$AA$2:$CD$8,7)</f>
        <v>#VALUE!</v>
      </c>
      <c r="H105" s="267" t="e">
        <f>HLOOKUP(A105,'Courbe In'!$AA$2:$CD$9,8)</f>
        <v>#VALUE!</v>
      </c>
      <c r="I105" s="266"/>
      <c r="J105" s="327"/>
      <c r="K105" s="268"/>
      <c r="L105" s="267"/>
    </row>
    <row r="106" spans="1:12">
      <c r="A106" s="268">
        <f t="shared" si="1"/>
        <v>45441.840324074074</v>
      </c>
      <c r="B106" s="266"/>
      <c r="C106" s="267" t="e">
        <f>HLOOKUP(A106,'Courbe In'!$AA$2:$CD$3,2)</f>
        <v>#VALUE!</v>
      </c>
      <c r="D106" s="267" t="e">
        <f ca="1">HLOOKUP(A106,'Courbe In'!$AA$2:$CD$7,5)</f>
        <v>#VALUE!</v>
      </c>
      <c r="E106" s="267" t="e">
        <f>HLOOKUP(A106,'Courbe In'!$AA$2:$CD$7,4)</f>
        <v>#VALUE!</v>
      </c>
      <c r="F106" s="267" t="e">
        <f ca="1">HLOOKUP(A106,'Courbe In'!$AA$2:$CD$7,6)</f>
        <v>#VALUE!</v>
      </c>
      <c r="G106" s="267" t="e">
        <f>HLOOKUP(A106,'Courbe In'!$AA$2:$CD$8,7)</f>
        <v>#VALUE!</v>
      </c>
      <c r="H106" s="267" t="e">
        <f>HLOOKUP(A106,'Courbe In'!$AA$2:$CD$9,8)</f>
        <v>#VALUE!</v>
      </c>
      <c r="I106" s="266"/>
      <c r="J106" s="327"/>
      <c r="K106" s="268"/>
      <c r="L106" s="267"/>
    </row>
    <row r="107" spans="1:12">
      <c r="A107" s="268">
        <f t="shared" si="1"/>
        <v>45442.840324074074</v>
      </c>
      <c r="B107" s="266"/>
      <c r="C107" s="267" t="e">
        <f>HLOOKUP(A107,'Courbe In'!$AA$2:$CD$3,2)</f>
        <v>#VALUE!</v>
      </c>
      <c r="D107" s="267" t="e">
        <f ca="1">HLOOKUP(A107,'Courbe In'!$AA$2:$CD$7,5)</f>
        <v>#VALUE!</v>
      </c>
      <c r="E107" s="267" t="e">
        <f>HLOOKUP(A107,'Courbe In'!$AA$2:$CD$7,4)</f>
        <v>#VALUE!</v>
      </c>
      <c r="F107" s="267" t="e">
        <f ca="1">HLOOKUP(A107,'Courbe In'!$AA$2:$CD$7,6)</f>
        <v>#VALUE!</v>
      </c>
      <c r="G107" s="267" t="e">
        <f>HLOOKUP(A107,'Courbe In'!$AA$2:$CD$8,7)</f>
        <v>#VALUE!</v>
      </c>
      <c r="H107" s="267" t="e">
        <f>HLOOKUP(A107,'Courbe In'!$AA$2:$CD$9,8)</f>
        <v>#VALUE!</v>
      </c>
      <c r="I107" s="266"/>
      <c r="J107" s="327"/>
      <c r="K107" s="268"/>
      <c r="L107" s="267"/>
    </row>
    <row r="108" spans="1:12">
      <c r="A108" s="268">
        <f t="shared" si="1"/>
        <v>45443.840324074074</v>
      </c>
      <c r="B108" s="266"/>
      <c r="C108" s="267" t="e">
        <f>HLOOKUP(A108,'Courbe In'!$AA$2:$CD$3,2)</f>
        <v>#VALUE!</v>
      </c>
      <c r="D108" s="267" t="e">
        <f ca="1">HLOOKUP(A108,'Courbe In'!$AA$2:$CD$7,5)</f>
        <v>#VALUE!</v>
      </c>
      <c r="E108" s="267" t="e">
        <f>HLOOKUP(A108,'Courbe In'!$AA$2:$CD$7,4)</f>
        <v>#VALUE!</v>
      </c>
      <c r="F108" s="267" t="e">
        <f ca="1">HLOOKUP(A108,'Courbe In'!$AA$2:$CD$7,6)</f>
        <v>#VALUE!</v>
      </c>
      <c r="G108" s="267" t="e">
        <f>HLOOKUP(A108,'Courbe In'!$AA$2:$CD$8,7)</f>
        <v>#VALUE!</v>
      </c>
      <c r="H108" s="267" t="e">
        <f>HLOOKUP(A108,'Courbe In'!$AA$2:$CD$9,8)</f>
        <v>#VALUE!</v>
      </c>
      <c r="I108" s="266"/>
      <c r="J108" s="327"/>
      <c r="K108" s="268"/>
      <c r="L108" s="267"/>
    </row>
    <row r="109" spans="1:12">
      <c r="A109" s="268">
        <f t="shared" si="1"/>
        <v>45444.840324074074</v>
      </c>
      <c r="B109" s="266"/>
      <c r="C109" s="267" t="e">
        <f>HLOOKUP(A109,'Courbe In'!$AA$2:$CD$3,2)</f>
        <v>#VALUE!</v>
      </c>
      <c r="D109" s="267" t="e">
        <f ca="1">HLOOKUP(A109,'Courbe In'!$AA$2:$CD$7,5)</f>
        <v>#VALUE!</v>
      </c>
      <c r="E109" s="267" t="e">
        <f>HLOOKUP(A109,'Courbe In'!$AA$2:$CD$7,4)</f>
        <v>#VALUE!</v>
      </c>
      <c r="F109" s="267" t="e">
        <f ca="1">HLOOKUP(A109,'Courbe In'!$AA$2:$CD$7,6)</f>
        <v>#VALUE!</v>
      </c>
      <c r="G109" s="267" t="e">
        <f>HLOOKUP(A109,'Courbe In'!$AA$2:$CD$8,7)</f>
        <v>#VALUE!</v>
      </c>
      <c r="H109" s="267" t="e">
        <f>HLOOKUP(A109,'Courbe In'!$AA$2:$CD$9,8)</f>
        <v>#VALUE!</v>
      </c>
      <c r="I109" s="266"/>
      <c r="J109" s="327"/>
      <c r="K109" s="268"/>
      <c r="L109" s="267"/>
    </row>
    <row r="110" spans="1:12">
      <c r="A110" s="268">
        <f t="shared" si="1"/>
        <v>45445.840324074074</v>
      </c>
      <c r="B110" s="266"/>
      <c r="C110" s="267" t="e">
        <f>HLOOKUP(A110,'Courbe In'!$AA$2:$CD$3,2)</f>
        <v>#VALUE!</v>
      </c>
      <c r="D110" s="267" t="e">
        <f ca="1">HLOOKUP(A110,'Courbe In'!$AA$2:$CD$7,5)</f>
        <v>#VALUE!</v>
      </c>
      <c r="E110" s="267" t="e">
        <f>HLOOKUP(A110,'Courbe In'!$AA$2:$CD$7,4)</f>
        <v>#VALUE!</v>
      </c>
      <c r="F110" s="267" t="e">
        <f ca="1">HLOOKUP(A110,'Courbe In'!$AA$2:$CD$7,6)</f>
        <v>#VALUE!</v>
      </c>
      <c r="G110" s="267" t="e">
        <f>HLOOKUP(A110,'Courbe In'!$AA$2:$CD$8,7)</f>
        <v>#VALUE!</v>
      </c>
      <c r="H110" s="267" t="e">
        <f>HLOOKUP(A110,'Courbe In'!$AA$2:$CD$9,8)</f>
        <v>#VALUE!</v>
      </c>
      <c r="I110" s="266"/>
      <c r="J110" s="327"/>
      <c r="K110" s="268"/>
      <c r="L110" s="267"/>
    </row>
    <row r="111" spans="1:12">
      <c r="A111" s="268">
        <f t="shared" si="1"/>
        <v>45446.840324074074</v>
      </c>
      <c r="B111" s="266"/>
      <c r="C111" s="267" t="e">
        <f>HLOOKUP(A111,'Courbe In'!$AA$2:$CD$3,2)</f>
        <v>#VALUE!</v>
      </c>
      <c r="D111" s="267" t="e">
        <f ca="1">HLOOKUP(A111,'Courbe In'!$AA$2:$CD$7,5)</f>
        <v>#VALUE!</v>
      </c>
      <c r="E111" s="267" t="e">
        <f>HLOOKUP(A111,'Courbe In'!$AA$2:$CD$7,4)</f>
        <v>#VALUE!</v>
      </c>
      <c r="F111" s="267" t="e">
        <f ca="1">HLOOKUP(A111,'Courbe In'!$AA$2:$CD$7,6)</f>
        <v>#VALUE!</v>
      </c>
      <c r="G111" s="267" t="e">
        <f>HLOOKUP(A111,'Courbe In'!$AA$2:$CD$8,7)</f>
        <v>#VALUE!</v>
      </c>
      <c r="H111" s="267" t="e">
        <f>HLOOKUP(A111,'Courbe In'!$AA$2:$CD$9,8)</f>
        <v>#VALUE!</v>
      </c>
      <c r="I111" s="266"/>
      <c r="J111" s="327"/>
      <c r="K111" s="268"/>
      <c r="L111" s="267"/>
    </row>
    <row r="112" spans="1:12">
      <c r="A112" s="268">
        <f t="shared" si="1"/>
        <v>45447.840324074074</v>
      </c>
      <c r="B112" s="266"/>
      <c r="C112" s="267" t="e">
        <f>HLOOKUP(A112,'Courbe In'!$AA$2:$CD$3,2)</f>
        <v>#VALUE!</v>
      </c>
      <c r="D112" s="267" t="e">
        <f ca="1">HLOOKUP(A112,'Courbe In'!$AA$2:$CD$7,5)</f>
        <v>#VALUE!</v>
      </c>
      <c r="E112" s="267" t="e">
        <f>HLOOKUP(A112,'Courbe In'!$AA$2:$CD$7,4)</f>
        <v>#VALUE!</v>
      </c>
      <c r="F112" s="267" t="e">
        <f ca="1">HLOOKUP(A112,'Courbe In'!$AA$2:$CD$7,6)</f>
        <v>#VALUE!</v>
      </c>
      <c r="G112" s="267" t="e">
        <f>HLOOKUP(A112,'Courbe In'!$AA$2:$CD$8,7)</f>
        <v>#VALUE!</v>
      </c>
      <c r="H112" s="267" t="e">
        <f>HLOOKUP(A112,'Courbe In'!$AA$2:$CD$9,8)</f>
        <v>#VALUE!</v>
      </c>
      <c r="I112" s="266"/>
      <c r="J112" s="327"/>
      <c r="K112" s="268"/>
      <c r="L112" s="267"/>
    </row>
    <row r="113" spans="1:12">
      <c r="A113" s="268">
        <f t="shared" si="1"/>
        <v>45448.840324074074</v>
      </c>
      <c r="B113" s="266"/>
      <c r="C113" s="267" t="e">
        <f>HLOOKUP(A113,'Courbe In'!$AA$2:$CD$3,2)</f>
        <v>#VALUE!</v>
      </c>
      <c r="D113" s="267" t="e">
        <f ca="1">HLOOKUP(A113,'Courbe In'!$AA$2:$CD$7,5)</f>
        <v>#VALUE!</v>
      </c>
      <c r="E113" s="267" t="e">
        <f>HLOOKUP(A113,'Courbe In'!$AA$2:$CD$7,4)</f>
        <v>#VALUE!</v>
      </c>
      <c r="F113" s="267" t="e">
        <f ca="1">HLOOKUP(A113,'Courbe In'!$AA$2:$CD$7,6)</f>
        <v>#VALUE!</v>
      </c>
      <c r="G113" s="267" t="e">
        <f>HLOOKUP(A113,'Courbe In'!$AA$2:$CD$8,7)</f>
        <v>#VALUE!</v>
      </c>
      <c r="H113" s="267" t="e">
        <f>HLOOKUP(A113,'Courbe In'!$AA$2:$CD$9,8)</f>
        <v>#VALUE!</v>
      </c>
      <c r="I113" s="266"/>
      <c r="J113" s="327"/>
      <c r="K113" s="268"/>
      <c r="L113" s="267"/>
    </row>
    <row r="114" spans="1:12">
      <c r="A114" s="268">
        <f t="shared" si="1"/>
        <v>45449.840324074074</v>
      </c>
      <c r="B114" s="266"/>
      <c r="C114" s="267" t="e">
        <f>HLOOKUP(A114,'Courbe In'!$AA$2:$CD$3,2)</f>
        <v>#VALUE!</v>
      </c>
      <c r="D114" s="267" t="e">
        <f ca="1">HLOOKUP(A114,'Courbe In'!$AA$2:$CD$7,5)</f>
        <v>#VALUE!</v>
      </c>
      <c r="E114" s="267" t="e">
        <f>HLOOKUP(A114,'Courbe In'!$AA$2:$CD$7,4)</f>
        <v>#VALUE!</v>
      </c>
      <c r="F114" s="267" t="e">
        <f ca="1">HLOOKUP(A114,'Courbe In'!$AA$2:$CD$7,6)</f>
        <v>#VALUE!</v>
      </c>
      <c r="G114" s="267" t="e">
        <f>HLOOKUP(A114,'Courbe In'!$AA$2:$CD$8,7)</f>
        <v>#VALUE!</v>
      </c>
      <c r="H114" s="267" t="e">
        <f>HLOOKUP(A114,'Courbe In'!$AA$2:$CD$9,8)</f>
        <v>#VALUE!</v>
      </c>
      <c r="I114" s="266"/>
      <c r="J114" s="327"/>
      <c r="K114" s="268"/>
      <c r="L114" s="267"/>
    </row>
    <row r="115" spans="1:12">
      <c r="A115" s="268">
        <f t="shared" si="1"/>
        <v>45450.840324074074</v>
      </c>
      <c r="B115" s="266"/>
      <c r="C115" s="267" t="e">
        <f>HLOOKUP(A115,'Courbe In'!$AA$2:$CD$3,2)</f>
        <v>#VALUE!</v>
      </c>
      <c r="D115" s="267" t="e">
        <f ca="1">HLOOKUP(A115,'Courbe In'!$AA$2:$CD$7,5)</f>
        <v>#VALUE!</v>
      </c>
      <c r="E115" s="267" t="e">
        <f>HLOOKUP(A115,'Courbe In'!$AA$2:$CD$7,4)</f>
        <v>#VALUE!</v>
      </c>
      <c r="F115" s="267" t="e">
        <f ca="1">HLOOKUP(A115,'Courbe In'!$AA$2:$CD$7,6)</f>
        <v>#VALUE!</v>
      </c>
      <c r="G115" s="267" t="e">
        <f>HLOOKUP(A115,'Courbe In'!$AA$2:$CD$8,7)</f>
        <v>#VALUE!</v>
      </c>
      <c r="H115" s="267" t="e">
        <f>HLOOKUP(A115,'Courbe In'!$AA$2:$CD$9,8)</f>
        <v>#VALUE!</v>
      </c>
      <c r="I115" s="266"/>
      <c r="J115" s="327"/>
      <c r="K115" s="268"/>
      <c r="L115" s="267"/>
    </row>
    <row r="116" spans="1:12">
      <c r="A116" s="268">
        <f t="shared" si="1"/>
        <v>45451.840324074074</v>
      </c>
      <c r="B116" s="266"/>
      <c r="C116" s="267" t="e">
        <f>HLOOKUP(A116,'Courbe In'!$AA$2:$CD$3,2)</f>
        <v>#VALUE!</v>
      </c>
      <c r="D116" s="267" t="e">
        <f ca="1">HLOOKUP(A116,'Courbe In'!$AA$2:$CD$7,5)</f>
        <v>#VALUE!</v>
      </c>
      <c r="E116" s="267" t="e">
        <f>HLOOKUP(A116,'Courbe In'!$AA$2:$CD$7,4)</f>
        <v>#VALUE!</v>
      </c>
      <c r="F116" s="267" t="e">
        <f ca="1">HLOOKUP(A116,'Courbe In'!$AA$2:$CD$7,6)</f>
        <v>#VALUE!</v>
      </c>
      <c r="G116" s="267" t="e">
        <f>HLOOKUP(A116,'Courbe In'!$AA$2:$CD$8,7)</f>
        <v>#VALUE!</v>
      </c>
      <c r="H116" s="267" t="e">
        <f>HLOOKUP(A116,'Courbe In'!$AA$2:$CD$9,8)</f>
        <v>#VALUE!</v>
      </c>
      <c r="I116" s="266"/>
      <c r="J116" s="327"/>
      <c r="K116" s="268"/>
      <c r="L116" s="267"/>
    </row>
    <row r="117" spans="1:12">
      <c r="A117" s="268">
        <f t="shared" si="1"/>
        <v>45452.840324074074</v>
      </c>
      <c r="B117" s="266"/>
      <c r="C117" s="267" t="e">
        <f>HLOOKUP(A117,'Courbe In'!$AA$2:$CD$3,2)</f>
        <v>#VALUE!</v>
      </c>
      <c r="D117" s="267" t="e">
        <f ca="1">HLOOKUP(A117,'Courbe In'!$AA$2:$CD$7,5)</f>
        <v>#VALUE!</v>
      </c>
      <c r="E117" s="267" t="e">
        <f>HLOOKUP(A117,'Courbe In'!$AA$2:$CD$7,4)</f>
        <v>#VALUE!</v>
      </c>
      <c r="F117" s="267" t="e">
        <f ca="1">HLOOKUP(A117,'Courbe In'!$AA$2:$CD$7,6)</f>
        <v>#VALUE!</v>
      </c>
      <c r="G117" s="267" t="e">
        <f>HLOOKUP(A117,'Courbe In'!$AA$2:$CD$8,7)</f>
        <v>#VALUE!</v>
      </c>
      <c r="H117" s="267" t="e">
        <f>HLOOKUP(A117,'Courbe In'!$AA$2:$CD$9,8)</f>
        <v>#VALUE!</v>
      </c>
      <c r="I117" s="266"/>
      <c r="J117" s="327"/>
      <c r="K117" s="268"/>
      <c r="L117" s="267"/>
    </row>
    <row r="118" spans="1:12">
      <c r="A118" s="268">
        <f t="shared" si="1"/>
        <v>45453.840324074074</v>
      </c>
      <c r="B118" s="266"/>
      <c r="C118" s="267" t="e">
        <f>HLOOKUP(A118,'Courbe In'!$AA$2:$CD$3,2)</f>
        <v>#VALUE!</v>
      </c>
      <c r="D118" s="267" t="e">
        <f ca="1">HLOOKUP(A118,'Courbe In'!$AA$2:$CD$7,5)</f>
        <v>#VALUE!</v>
      </c>
      <c r="E118" s="267" t="e">
        <f>HLOOKUP(A118,'Courbe In'!$AA$2:$CD$7,4)</f>
        <v>#VALUE!</v>
      </c>
      <c r="F118" s="267" t="e">
        <f ca="1">HLOOKUP(A118,'Courbe In'!$AA$2:$CD$7,6)</f>
        <v>#VALUE!</v>
      </c>
      <c r="G118" s="267" t="e">
        <f>HLOOKUP(A118,'Courbe In'!$AA$2:$CD$8,7)</f>
        <v>#VALUE!</v>
      </c>
      <c r="H118" s="267" t="e">
        <f>HLOOKUP(A118,'Courbe In'!$AA$2:$CD$9,8)</f>
        <v>#VALUE!</v>
      </c>
      <c r="I118" s="266"/>
      <c r="J118" s="327"/>
      <c r="K118" s="268"/>
      <c r="L118" s="267"/>
    </row>
    <row r="119" spans="1:12">
      <c r="A119" s="268">
        <f t="shared" si="1"/>
        <v>45454.840324074074</v>
      </c>
      <c r="B119" s="266"/>
      <c r="C119" s="267" t="e">
        <f>HLOOKUP(A119,'Courbe In'!$AA$2:$CD$3,2)</f>
        <v>#VALUE!</v>
      </c>
      <c r="D119" s="267" t="e">
        <f ca="1">HLOOKUP(A119,'Courbe In'!$AA$2:$CD$7,5)</f>
        <v>#VALUE!</v>
      </c>
      <c r="E119" s="267" t="e">
        <f>HLOOKUP(A119,'Courbe In'!$AA$2:$CD$7,4)</f>
        <v>#VALUE!</v>
      </c>
      <c r="F119" s="267" t="e">
        <f ca="1">HLOOKUP(A119,'Courbe In'!$AA$2:$CD$7,6)</f>
        <v>#VALUE!</v>
      </c>
      <c r="G119" s="267" t="e">
        <f>HLOOKUP(A119,'Courbe In'!$AA$2:$CD$8,7)</f>
        <v>#VALUE!</v>
      </c>
      <c r="H119" s="267" t="e">
        <f>HLOOKUP(A119,'Courbe In'!$AA$2:$CD$9,8)</f>
        <v>#VALUE!</v>
      </c>
      <c r="I119" s="266"/>
      <c r="J119" s="327"/>
      <c r="K119" s="268"/>
      <c r="L119" s="267"/>
    </row>
    <row r="120" spans="1:12">
      <c r="A120" s="268">
        <f t="shared" si="1"/>
        <v>45455.840324074074</v>
      </c>
      <c r="B120" s="266"/>
      <c r="C120" s="267" t="e">
        <f>HLOOKUP(A120,'Courbe In'!$AA$2:$CD$3,2)</f>
        <v>#VALUE!</v>
      </c>
      <c r="D120" s="267" t="e">
        <f ca="1">HLOOKUP(A120,'Courbe In'!$AA$2:$CD$7,5)</f>
        <v>#VALUE!</v>
      </c>
      <c r="E120" s="267" t="e">
        <f>HLOOKUP(A120,'Courbe In'!$AA$2:$CD$7,4)</f>
        <v>#VALUE!</v>
      </c>
      <c r="F120" s="267" t="e">
        <f ca="1">HLOOKUP(A120,'Courbe In'!$AA$2:$CD$7,6)</f>
        <v>#VALUE!</v>
      </c>
      <c r="G120" s="267" t="e">
        <f>HLOOKUP(A120,'Courbe In'!$AA$2:$CD$8,7)</f>
        <v>#VALUE!</v>
      </c>
      <c r="H120" s="267" t="e">
        <f>HLOOKUP(A120,'Courbe In'!$AA$2:$CD$9,8)</f>
        <v>#VALUE!</v>
      </c>
      <c r="I120" s="266"/>
      <c r="J120" s="327"/>
      <c r="K120" s="268"/>
      <c r="L120" s="267"/>
    </row>
    <row r="121" spans="1:12">
      <c r="A121" s="268">
        <f t="shared" si="1"/>
        <v>45456.840324074074</v>
      </c>
      <c r="B121" s="266"/>
      <c r="C121" s="267" t="e">
        <f>HLOOKUP(A121,'Courbe In'!$AA$2:$CD$3,2)</f>
        <v>#VALUE!</v>
      </c>
      <c r="D121" s="267" t="e">
        <f ca="1">HLOOKUP(A121,'Courbe In'!$AA$2:$CD$7,5)</f>
        <v>#VALUE!</v>
      </c>
      <c r="E121" s="267" t="e">
        <f>HLOOKUP(A121,'Courbe In'!$AA$2:$CD$7,4)</f>
        <v>#VALUE!</v>
      </c>
      <c r="F121" s="267" t="e">
        <f ca="1">HLOOKUP(A121,'Courbe In'!$AA$2:$CD$7,6)</f>
        <v>#VALUE!</v>
      </c>
      <c r="G121" s="267" t="e">
        <f>HLOOKUP(A121,'Courbe In'!$AA$2:$CD$8,7)</f>
        <v>#VALUE!</v>
      </c>
      <c r="H121" s="267" t="e">
        <f>HLOOKUP(A121,'Courbe In'!$AA$2:$CD$9,8)</f>
        <v>#VALUE!</v>
      </c>
      <c r="I121" s="266"/>
      <c r="J121" s="327"/>
      <c r="K121" s="268"/>
      <c r="L121" s="267"/>
    </row>
    <row r="122" spans="1:12">
      <c r="A122" s="268">
        <f t="shared" si="1"/>
        <v>45457.840324074074</v>
      </c>
      <c r="B122" s="266"/>
      <c r="C122" s="267" t="e">
        <f>HLOOKUP(A122,'Courbe In'!$AA$2:$CD$3,2)</f>
        <v>#VALUE!</v>
      </c>
      <c r="D122" s="267" t="e">
        <f ca="1">HLOOKUP(A122,'Courbe In'!$AA$2:$CD$7,5)</f>
        <v>#VALUE!</v>
      </c>
      <c r="E122" s="267" t="e">
        <f>HLOOKUP(A122,'Courbe In'!$AA$2:$CD$7,4)</f>
        <v>#VALUE!</v>
      </c>
      <c r="F122" s="267" t="e">
        <f ca="1">HLOOKUP(A122,'Courbe In'!$AA$2:$CD$7,6)</f>
        <v>#VALUE!</v>
      </c>
      <c r="G122" s="267" t="e">
        <f>HLOOKUP(A122,'Courbe In'!$AA$2:$CD$8,7)</f>
        <v>#VALUE!</v>
      </c>
      <c r="H122" s="267" t="e">
        <f>HLOOKUP(A122,'Courbe In'!$AA$2:$CD$9,8)</f>
        <v>#VALUE!</v>
      </c>
      <c r="I122" s="266"/>
      <c r="J122" s="327"/>
      <c r="K122" s="268"/>
      <c r="L122" s="267"/>
    </row>
    <row r="123" spans="1:12">
      <c r="A123" s="268">
        <f t="shared" si="1"/>
        <v>45458.840324074074</v>
      </c>
      <c r="B123" s="266"/>
      <c r="C123" s="267" t="e">
        <f>HLOOKUP(A123,'Courbe In'!$AA$2:$CD$3,2)</f>
        <v>#VALUE!</v>
      </c>
      <c r="D123" s="267" t="e">
        <f ca="1">HLOOKUP(A123,'Courbe In'!$AA$2:$CD$7,5)</f>
        <v>#VALUE!</v>
      </c>
      <c r="E123" s="267" t="e">
        <f>HLOOKUP(A123,'Courbe In'!$AA$2:$CD$7,4)</f>
        <v>#VALUE!</v>
      </c>
      <c r="F123" s="267" t="e">
        <f ca="1">HLOOKUP(A123,'Courbe In'!$AA$2:$CD$7,6)</f>
        <v>#VALUE!</v>
      </c>
      <c r="G123" s="267" t="e">
        <f>HLOOKUP(A123,'Courbe In'!$AA$2:$CD$8,7)</f>
        <v>#VALUE!</v>
      </c>
      <c r="H123" s="267" t="e">
        <f>HLOOKUP(A123,'Courbe In'!$AA$2:$CD$9,8)</f>
        <v>#VALUE!</v>
      </c>
      <c r="I123" s="266"/>
      <c r="J123" s="327"/>
      <c r="K123" s="268"/>
      <c r="L123" s="267"/>
    </row>
    <row r="124" spans="1:12">
      <c r="A124" s="268">
        <f t="shared" si="1"/>
        <v>45459.840324074074</v>
      </c>
      <c r="B124" s="266"/>
      <c r="C124" s="267" t="e">
        <f>HLOOKUP(A124,'Courbe In'!$AA$2:$CD$3,2)</f>
        <v>#VALUE!</v>
      </c>
      <c r="D124" s="267" t="e">
        <f ca="1">HLOOKUP(A124,'Courbe In'!$AA$2:$CD$7,5)</f>
        <v>#VALUE!</v>
      </c>
      <c r="E124" s="267" t="e">
        <f>HLOOKUP(A124,'Courbe In'!$AA$2:$CD$7,4)</f>
        <v>#VALUE!</v>
      </c>
      <c r="F124" s="267" t="e">
        <f ca="1">HLOOKUP(A124,'Courbe In'!$AA$2:$CD$7,6)</f>
        <v>#VALUE!</v>
      </c>
      <c r="G124" s="267" t="e">
        <f>HLOOKUP(A124,'Courbe In'!$AA$2:$CD$8,7)</f>
        <v>#VALUE!</v>
      </c>
      <c r="H124" s="267" t="e">
        <f>HLOOKUP(A124,'Courbe In'!$AA$2:$CD$9,8)</f>
        <v>#VALUE!</v>
      </c>
      <c r="I124" s="266"/>
      <c r="J124" s="327"/>
      <c r="K124" s="268"/>
      <c r="L124" s="267"/>
    </row>
    <row r="125" spans="1:12">
      <c r="A125" s="268">
        <f t="shared" si="1"/>
        <v>45460.840324074074</v>
      </c>
      <c r="B125" s="266"/>
      <c r="C125" s="267" t="e">
        <f>HLOOKUP(A125,'Courbe In'!$AA$2:$CD$3,2)</f>
        <v>#VALUE!</v>
      </c>
      <c r="D125" s="267" t="e">
        <f ca="1">HLOOKUP(A125,'Courbe In'!$AA$2:$CD$7,5)</f>
        <v>#VALUE!</v>
      </c>
      <c r="E125" s="267" t="e">
        <f>HLOOKUP(A125,'Courbe In'!$AA$2:$CD$7,4)</f>
        <v>#VALUE!</v>
      </c>
      <c r="F125" s="267" t="e">
        <f ca="1">HLOOKUP(A125,'Courbe In'!$AA$2:$CD$7,6)</f>
        <v>#VALUE!</v>
      </c>
      <c r="G125" s="267" t="e">
        <f>HLOOKUP(A125,'Courbe In'!$AA$2:$CD$8,7)</f>
        <v>#VALUE!</v>
      </c>
      <c r="H125" s="267" t="e">
        <f>HLOOKUP(A125,'Courbe In'!$AA$2:$CD$9,8)</f>
        <v>#VALUE!</v>
      </c>
      <c r="I125" s="266"/>
      <c r="J125" s="327"/>
      <c r="K125" s="268"/>
      <c r="L125" s="267"/>
    </row>
    <row r="126" spans="1:12">
      <c r="A126" s="268">
        <f t="shared" si="1"/>
        <v>45461.840324074074</v>
      </c>
      <c r="B126" s="266"/>
      <c r="C126" s="267" t="e">
        <f>HLOOKUP(A126,'Courbe In'!$AA$2:$CD$3,2)</f>
        <v>#VALUE!</v>
      </c>
      <c r="D126" s="267" t="e">
        <f ca="1">HLOOKUP(A126,'Courbe In'!$AA$2:$CD$7,5)</f>
        <v>#VALUE!</v>
      </c>
      <c r="E126" s="267" t="e">
        <f>HLOOKUP(A126,'Courbe In'!$AA$2:$CD$7,4)</f>
        <v>#VALUE!</v>
      </c>
      <c r="F126" s="267" t="e">
        <f ca="1">HLOOKUP(A126,'Courbe In'!$AA$2:$CD$7,6)</f>
        <v>#VALUE!</v>
      </c>
      <c r="G126" s="267" t="e">
        <f>HLOOKUP(A126,'Courbe In'!$AA$2:$CD$8,7)</f>
        <v>#VALUE!</v>
      </c>
      <c r="H126" s="267" t="e">
        <f>HLOOKUP(A126,'Courbe In'!$AA$2:$CD$9,8)</f>
        <v>#VALUE!</v>
      </c>
      <c r="I126" s="266"/>
      <c r="J126" s="327"/>
      <c r="K126" s="268"/>
      <c r="L126" s="267"/>
    </row>
    <row r="127" spans="1:12">
      <c r="A127" s="268">
        <f t="shared" si="1"/>
        <v>45462.840324074074</v>
      </c>
      <c r="B127" s="266"/>
      <c r="C127" s="267" t="e">
        <f>HLOOKUP(A127,'Courbe In'!$AA$2:$CD$3,2)</f>
        <v>#VALUE!</v>
      </c>
      <c r="D127" s="267" t="e">
        <f ca="1">HLOOKUP(A127,'Courbe In'!$AA$2:$CD$7,5)</f>
        <v>#VALUE!</v>
      </c>
      <c r="E127" s="267" t="e">
        <f>HLOOKUP(A127,'Courbe In'!$AA$2:$CD$7,4)</f>
        <v>#VALUE!</v>
      </c>
      <c r="F127" s="267" t="e">
        <f ca="1">HLOOKUP(A127,'Courbe In'!$AA$2:$CD$7,6)</f>
        <v>#VALUE!</v>
      </c>
      <c r="G127" s="267" t="e">
        <f>HLOOKUP(A127,'Courbe In'!$AA$2:$CD$8,7)</f>
        <v>#VALUE!</v>
      </c>
      <c r="H127" s="267" t="e">
        <f>HLOOKUP(A127,'Courbe In'!$AA$2:$CD$9,8)</f>
        <v>#VALUE!</v>
      </c>
      <c r="I127" s="266"/>
      <c r="J127" s="327"/>
      <c r="K127" s="268"/>
      <c r="L127" s="267"/>
    </row>
    <row r="128" spans="1:12">
      <c r="A128" s="268">
        <f t="shared" si="1"/>
        <v>45463.840324074074</v>
      </c>
      <c r="B128" s="266"/>
      <c r="C128" s="267" t="e">
        <f>HLOOKUP(A128,'Courbe In'!$AA$2:$CD$3,2)</f>
        <v>#VALUE!</v>
      </c>
      <c r="D128" s="267" t="e">
        <f ca="1">HLOOKUP(A128,'Courbe In'!$AA$2:$CD$7,5)</f>
        <v>#VALUE!</v>
      </c>
      <c r="E128" s="267" t="e">
        <f>HLOOKUP(A128,'Courbe In'!$AA$2:$CD$7,4)</f>
        <v>#VALUE!</v>
      </c>
      <c r="F128" s="267" t="e">
        <f ca="1">HLOOKUP(A128,'Courbe In'!$AA$2:$CD$7,6)</f>
        <v>#VALUE!</v>
      </c>
      <c r="G128" s="267" t="e">
        <f>HLOOKUP(A128,'Courbe In'!$AA$2:$CD$8,7)</f>
        <v>#VALUE!</v>
      </c>
      <c r="H128" s="267" t="e">
        <f>HLOOKUP(A128,'Courbe In'!$AA$2:$CD$9,8)</f>
        <v>#VALUE!</v>
      </c>
      <c r="I128" s="266"/>
      <c r="J128" s="327"/>
      <c r="K128" s="268"/>
      <c r="L128" s="267"/>
    </row>
    <row r="129" spans="1:12">
      <c r="A129" s="268">
        <f t="shared" si="1"/>
        <v>45464.840324074074</v>
      </c>
      <c r="B129" s="266"/>
      <c r="C129" s="267" t="e">
        <f>HLOOKUP(A129,'Courbe In'!$AA$2:$CD$3,2)</f>
        <v>#VALUE!</v>
      </c>
      <c r="D129" s="267" t="e">
        <f ca="1">HLOOKUP(A129,'Courbe In'!$AA$2:$CD$7,5)</f>
        <v>#VALUE!</v>
      </c>
      <c r="E129" s="267" t="e">
        <f>HLOOKUP(A129,'Courbe In'!$AA$2:$CD$7,4)</f>
        <v>#VALUE!</v>
      </c>
      <c r="F129" s="267" t="e">
        <f ca="1">HLOOKUP(A129,'Courbe In'!$AA$2:$CD$7,6)</f>
        <v>#VALUE!</v>
      </c>
      <c r="G129" s="267" t="e">
        <f>HLOOKUP(A129,'Courbe In'!$AA$2:$CD$8,7)</f>
        <v>#VALUE!</v>
      </c>
      <c r="H129" s="267" t="e">
        <f>HLOOKUP(A129,'Courbe In'!$AA$2:$CD$9,8)</f>
        <v>#VALUE!</v>
      </c>
      <c r="I129" s="266"/>
      <c r="J129" s="327"/>
      <c r="K129" s="268"/>
      <c r="L129" s="267"/>
    </row>
    <row r="130" spans="1:12">
      <c r="A130" s="268">
        <f t="shared" si="1"/>
        <v>45465.840324074074</v>
      </c>
      <c r="B130" s="266"/>
      <c r="C130" s="267" t="e">
        <f>HLOOKUP(A130,'Courbe In'!$AA$2:$CD$3,2)</f>
        <v>#VALUE!</v>
      </c>
      <c r="D130" s="267" t="e">
        <f ca="1">HLOOKUP(A130,'Courbe In'!$AA$2:$CD$7,5)</f>
        <v>#VALUE!</v>
      </c>
      <c r="E130" s="267" t="e">
        <f>HLOOKUP(A130,'Courbe In'!$AA$2:$CD$7,4)</f>
        <v>#VALUE!</v>
      </c>
      <c r="F130" s="267" t="e">
        <f ca="1">HLOOKUP(A130,'Courbe In'!$AA$2:$CD$7,6)</f>
        <v>#VALUE!</v>
      </c>
      <c r="G130" s="267" t="e">
        <f>HLOOKUP(A130,'Courbe In'!$AA$2:$CD$8,7)</f>
        <v>#VALUE!</v>
      </c>
      <c r="H130" s="267" t="e">
        <f>HLOOKUP(A130,'Courbe In'!$AA$2:$CD$9,8)</f>
        <v>#VALUE!</v>
      </c>
      <c r="I130" s="266"/>
      <c r="J130" s="327"/>
      <c r="K130" s="268"/>
      <c r="L130" s="267"/>
    </row>
    <row r="131" spans="1:12">
      <c r="A131" s="268">
        <f t="shared" si="1"/>
        <v>45466.840324074074</v>
      </c>
      <c r="B131" s="266"/>
      <c r="C131" s="267" t="e">
        <f>HLOOKUP(A131,'Courbe In'!$AA$2:$CD$3,2)</f>
        <v>#VALUE!</v>
      </c>
      <c r="D131" s="267" t="e">
        <f ca="1">HLOOKUP(A131,'Courbe In'!$AA$2:$CD$7,5)</f>
        <v>#VALUE!</v>
      </c>
      <c r="E131" s="267" t="e">
        <f>HLOOKUP(A131,'Courbe In'!$AA$2:$CD$7,4)</f>
        <v>#VALUE!</v>
      </c>
      <c r="F131" s="267" t="e">
        <f ca="1">HLOOKUP(A131,'Courbe In'!$AA$2:$CD$7,6)</f>
        <v>#VALUE!</v>
      </c>
      <c r="G131" s="267" t="e">
        <f>HLOOKUP(A131,'Courbe In'!$AA$2:$CD$8,7)</f>
        <v>#VALUE!</v>
      </c>
      <c r="H131" s="267" t="e">
        <f>HLOOKUP(A131,'Courbe In'!$AA$2:$CD$9,8)</f>
        <v>#VALUE!</v>
      </c>
      <c r="I131" s="266"/>
      <c r="J131" s="327"/>
      <c r="K131" s="268"/>
      <c r="L131" s="267"/>
    </row>
    <row r="132" spans="1:12">
      <c r="A132" s="268">
        <f t="shared" ref="A132:A195" si="2">A131+1</f>
        <v>45467.840324074074</v>
      </c>
      <c r="B132" s="266"/>
      <c r="C132" s="267" t="e">
        <f>HLOOKUP(A132,'Courbe In'!$AA$2:$CD$3,2)</f>
        <v>#VALUE!</v>
      </c>
      <c r="D132" s="267" t="e">
        <f ca="1">HLOOKUP(A132,'Courbe In'!$AA$2:$CD$7,5)</f>
        <v>#VALUE!</v>
      </c>
      <c r="E132" s="267" t="e">
        <f>HLOOKUP(A132,'Courbe In'!$AA$2:$CD$7,4)</f>
        <v>#VALUE!</v>
      </c>
      <c r="F132" s="267" t="e">
        <f ca="1">HLOOKUP(A132,'Courbe In'!$AA$2:$CD$7,6)</f>
        <v>#VALUE!</v>
      </c>
      <c r="G132" s="267" t="e">
        <f>HLOOKUP(A132,'Courbe In'!$AA$2:$CD$8,7)</f>
        <v>#VALUE!</v>
      </c>
      <c r="H132" s="267" t="e">
        <f>HLOOKUP(A132,'Courbe In'!$AA$2:$CD$9,8)</f>
        <v>#VALUE!</v>
      </c>
      <c r="I132" s="266"/>
      <c r="J132" s="327"/>
      <c r="K132" s="268"/>
      <c r="L132" s="267"/>
    </row>
    <row r="133" spans="1:12">
      <c r="A133" s="268">
        <f t="shared" si="2"/>
        <v>45468.840324074074</v>
      </c>
      <c r="B133" s="266"/>
      <c r="C133" s="267" t="e">
        <f>HLOOKUP(A133,'Courbe In'!$AA$2:$CD$3,2)</f>
        <v>#VALUE!</v>
      </c>
      <c r="D133" s="267" t="e">
        <f ca="1">HLOOKUP(A133,'Courbe In'!$AA$2:$CD$7,5)</f>
        <v>#VALUE!</v>
      </c>
      <c r="E133" s="267" t="e">
        <f>HLOOKUP(A133,'Courbe In'!$AA$2:$CD$7,4)</f>
        <v>#VALUE!</v>
      </c>
      <c r="F133" s="267" t="e">
        <f ca="1">HLOOKUP(A133,'Courbe In'!$AA$2:$CD$7,6)</f>
        <v>#VALUE!</v>
      </c>
      <c r="G133" s="267" t="e">
        <f>HLOOKUP(A133,'Courbe In'!$AA$2:$CD$8,7)</f>
        <v>#VALUE!</v>
      </c>
      <c r="H133" s="267" t="e">
        <f>HLOOKUP(A133,'Courbe In'!$AA$2:$CD$9,8)</f>
        <v>#VALUE!</v>
      </c>
      <c r="I133" s="266"/>
      <c r="J133" s="327"/>
      <c r="K133" s="268"/>
      <c r="L133" s="267"/>
    </row>
    <row r="134" spans="1:12">
      <c r="A134" s="268">
        <f t="shared" si="2"/>
        <v>45469.840324074074</v>
      </c>
      <c r="B134" s="266"/>
      <c r="C134" s="267" t="e">
        <f>HLOOKUP(A134,'Courbe In'!$AA$2:$CD$3,2)</f>
        <v>#VALUE!</v>
      </c>
      <c r="D134" s="267" t="e">
        <f ca="1">HLOOKUP(A134,'Courbe In'!$AA$2:$CD$7,5)</f>
        <v>#VALUE!</v>
      </c>
      <c r="E134" s="267" t="e">
        <f>HLOOKUP(A134,'Courbe In'!$AA$2:$CD$7,4)</f>
        <v>#VALUE!</v>
      </c>
      <c r="F134" s="267" t="e">
        <f ca="1">HLOOKUP(A134,'Courbe In'!$AA$2:$CD$7,6)</f>
        <v>#VALUE!</v>
      </c>
      <c r="G134" s="267" t="e">
        <f>HLOOKUP(A134,'Courbe In'!$AA$2:$CD$8,7)</f>
        <v>#VALUE!</v>
      </c>
      <c r="H134" s="267" t="e">
        <f>HLOOKUP(A134,'Courbe In'!$AA$2:$CD$9,8)</f>
        <v>#VALUE!</v>
      </c>
      <c r="I134" s="266"/>
      <c r="J134" s="327"/>
      <c r="K134" s="268"/>
      <c r="L134" s="267"/>
    </row>
    <row r="135" spans="1:12">
      <c r="A135" s="268">
        <f t="shared" si="2"/>
        <v>45470.840324074074</v>
      </c>
      <c r="B135" s="266"/>
      <c r="C135" s="267" t="e">
        <f>HLOOKUP(A135,'Courbe In'!$AA$2:$CD$3,2)</f>
        <v>#VALUE!</v>
      </c>
      <c r="D135" s="267" t="e">
        <f ca="1">HLOOKUP(A135,'Courbe In'!$AA$2:$CD$7,5)</f>
        <v>#VALUE!</v>
      </c>
      <c r="E135" s="267" t="e">
        <f>HLOOKUP(A135,'Courbe In'!$AA$2:$CD$7,4)</f>
        <v>#VALUE!</v>
      </c>
      <c r="F135" s="267" t="e">
        <f ca="1">HLOOKUP(A135,'Courbe In'!$AA$2:$CD$7,6)</f>
        <v>#VALUE!</v>
      </c>
      <c r="G135" s="267" t="e">
        <f>HLOOKUP(A135,'Courbe In'!$AA$2:$CD$8,7)</f>
        <v>#VALUE!</v>
      </c>
      <c r="H135" s="267" t="e">
        <f>HLOOKUP(A135,'Courbe In'!$AA$2:$CD$9,8)</f>
        <v>#VALUE!</v>
      </c>
      <c r="I135" s="266"/>
      <c r="J135" s="327"/>
      <c r="K135" s="268"/>
      <c r="L135" s="267"/>
    </row>
    <row r="136" spans="1:12">
      <c r="A136" s="268">
        <f t="shared" si="2"/>
        <v>45471.840324074074</v>
      </c>
      <c r="B136" s="266"/>
      <c r="C136" s="267" t="e">
        <f>HLOOKUP(A136,'Courbe In'!$AA$2:$CD$3,2)</f>
        <v>#VALUE!</v>
      </c>
      <c r="D136" s="267" t="e">
        <f ca="1">HLOOKUP(A136,'Courbe In'!$AA$2:$CD$7,5)</f>
        <v>#VALUE!</v>
      </c>
      <c r="E136" s="267" t="e">
        <f>HLOOKUP(A136,'Courbe In'!$AA$2:$CD$7,4)</f>
        <v>#VALUE!</v>
      </c>
      <c r="F136" s="267" t="e">
        <f ca="1">HLOOKUP(A136,'Courbe In'!$AA$2:$CD$7,6)</f>
        <v>#VALUE!</v>
      </c>
      <c r="G136" s="267" t="e">
        <f>HLOOKUP(A136,'Courbe In'!$AA$2:$CD$8,7)</f>
        <v>#VALUE!</v>
      </c>
      <c r="H136" s="267" t="e">
        <f>HLOOKUP(A136,'Courbe In'!$AA$2:$CD$9,8)</f>
        <v>#VALUE!</v>
      </c>
      <c r="I136" s="266"/>
      <c r="J136" s="327"/>
      <c r="K136" s="268"/>
      <c r="L136" s="267"/>
    </row>
    <row r="137" spans="1:12">
      <c r="A137" s="268">
        <f t="shared" si="2"/>
        <v>45472.840324074074</v>
      </c>
      <c r="B137" s="266"/>
      <c r="C137" s="267" t="e">
        <f>HLOOKUP(A137,'Courbe In'!$AA$2:$CD$3,2)</f>
        <v>#VALUE!</v>
      </c>
      <c r="D137" s="267" t="e">
        <f ca="1">HLOOKUP(A137,'Courbe In'!$AA$2:$CD$7,5)</f>
        <v>#VALUE!</v>
      </c>
      <c r="E137" s="267" t="e">
        <f>HLOOKUP(A137,'Courbe In'!$AA$2:$CD$7,4)</f>
        <v>#VALUE!</v>
      </c>
      <c r="F137" s="267" t="e">
        <f ca="1">HLOOKUP(A137,'Courbe In'!$AA$2:$CD$7,6)</f>
        <v>#VALUE!</v>
      </c>
      <c r="G137" s="267" t="e">
        <f>HLOOKUP(A137,'Courbe In'!$AA$2:$CD$8,7)</f>
        <v>#VALUE!</v>
      </c>
      <c r="H137" s="267" t="e">
        <f>HLOOKUP(A137,'Courbe In'!$AA$2:$CD$9,8)</f>
        <v>#VALUE!</v>
      </c>
      <c r="I137" s="266"/>
      <c r="J137" s="327"/>
      <c r="K137" s="268"/>
      <c r="L137" s="267"/>
    </row>
    <row r="138" spans="1:12">
      <c r="A138" s="268">
        <f t="shared" si="2"/>
        <v>45473.840324074074</v>
      </c>
      <c r="B138" s="266"/>
      <c r="C138" s="267" t="e">
        <f>HLOOKUP(A138,'Courbe In'!$AA$2:$CD$3,2)</f>
        <v>#VALUE!</v>
      </c>
      <c r="D138" s="267" t="e">
        <f ca="1">HLOOKUP(A138,'Courbe In'!$AA$2:$CD$7,5)</f>
        <v>#VALUE!</v>
      </c>
      <c r="E138" s="267" t="e">
        <f>HLOOKUP(A138,'Courbe In'!$AA$2:$CD$7,4)</f>
        <v>#VALUE!</v>
      </c>
      <c r="F138" s="267" t="e">
        <f ca="1">HLOOKUP(A138,'Courbe In'!$AA$2:$CD$7,6)</f>
        <v>#VALUE!</v>
      </c>
      <c r="G138" s="267" t="e">
        <f>HLOOKUP(A138,'Courbe In'!$AA$2:$CD$8,7)</f>
        <v>#VALUE!</v>
      </c>
      <c r="H138" s="267" t="e">
        <f>HLOOKUP(A138,'Courbe In'!$AA$2:$CD$9,8)</f>
        <v>#VALUE!</v>
      </c>
      <c r="I138" s="266"/>
      <c r="J138" s="327"/>
      <c r="K138" s="268"/>
      <c r="L138" s="267"/>
    </row>
    <row r="139" spans="1:12">
      <c r="A139" s="268">
        <f t="shared" si="2"/>
        <v>45474.840324074074</v>
      </c>
      <c r="B139" s="266"/>
      <c r="C139" s="267" t="e">
        <f>HLOOKUP(A139,'Courbe In'!$AA$2:$CD$3,2)</f>
        <v>#VALUE!</v>
      </c>
      <c r="D139" s="267" t="e">
        <f ca="1">HLOOKUP(A139,'Courbe In'!$AA$2:$CD$7,5)</f>
        <v>#VALUE!</v>
      </c>
      <c r="E139" s="267" t="e">
        <f>HLOOKUP(A139,'Courbe In'!$AA$2:$CD$7,4)</f>
        <v>#VALUE!</v>
      </c>
      <c r="F139" s="267" t="e">
        <f ca="1">HLOOKUP(A139,'Courbe In'!$AA$2:$CD$7,6)</f>
        <v>#VALUE!</v>
      </c>
      <c r="G139" s="267" t="e">
        <f>HLOOKUP(A139,'Courbe In'!$AA$2:$CD$8,7)</f>
        <v>#VALUE!</v>
      </c>
      <c r="H139" s="267" t="e">
        <f>HLOOKUP(A139,'Courbe In'!$AA$2:$CD$9,8)</f>
        <v>#VALUE!</v>
      </c>
      <c r="I139" s="266"/>
      <c r="J139" s="327"/>
      <c r="K139" s="268"/>
      <c r="L139" s="267"/>
    </row>
    <row r="140" spans="1:12">
      <c r="A140" s="268">
        <f t="shared" si="2"/>
        <v>45475.840324074074</v>
      </c>
      <c r="B140" s="266"/>
      <c r="C140" s="267" t="e">
        <f>HLOOKUP(A140,'Courbe In'!$AA$2:$CD$3,2)</f>
        <v>#VALUE!</v>
      </c>
      <c r="D140" s="267" t="e">
        <f ca="1">HLOOKUP(A140,'Courbe In'!$AA$2:$CD$7,5)</f>
        <v>#VALUE!</v>
      </c>
      <c r="E140" s="267" t="e">
        <f>HLOOKUP(A140,'Courbe In'!$AA$2:$CD$7,4)</f>
        <v>#VALUE!</v>
      </c>
      <c r="F140" s="267" t="e">
        <f ca="1">HLOOKUP(A140,'Courbe In'!$AA$2:$CD$7,6)</f>
        <v>#VALUE!</v>
      </c>
      <c r="G140" s="267" t="e">
        <f>HLOOKUP(A140,'Courbe In'!$AA$2:$CD$8,7)</f>
        <v>#VALUE!</v>
      </c>
      <c r="H140" s="267" t="e">
        <f>HLOOKUP(A140,'Courbe In'!$AA$2:$CD$9,8)</f>
        <v>#VALUE!</v>
      </c>
      <c r="I140" s="266"/>
      <c r="J140" s="327"/>
      <c r="K140" s="268"/>
      <c r="L140" s="267"/>
    </row>
    <row r="141" spans="1:12">
      <c r="A141" s="268">
        <f t="shared" si="2"/>
        <v>45476.840324074074</v>
      </c>
      <c r="B141" s="266"/>
      <c r="C141" s="267" t="e">
        <f>HLOOKUP(A141,'Courbe In'!$AA$2:$CD$3,2)</f>
        <v>#VALUE!</v>
      </c>
      <c r="D141" s="267" t="e">
        <f ca="1">HLOOKUP(A141,'Courbe In'!$AA$2:$CD$7,5)</f>
        <v>#VALUE!</v>
      </c>
      <c r="E141" s="267" t="e">
        <f>HLOOKUP(A141,'Courbe In'!$AA$2:$CD$7,4)</f>
        <v>#VALUE!</v>
      </c>
      <c r="F141" s="267" t="e">
        <f ca="1">HLOOKUP(A141,'Courbe In'!$AA$2:$CD$7,6)</f>
        <v>#VALUE!</v>
      </c>
      <c r="G141" s="267" t="e">
        <f>HLOOKUP(A141,'Courbe In'!$AA$2:$CD$8,7)</f>
        <v>#VALUE!</v>
      </c>
      <c r="H141" s="267" t="e">
        <f>HLOOKUP(A141,'Courbe In'!$AA$2:$CD$9,8)</f>
        <v>#VALUE!</v>
      </c>
      <c r="I141" s="266"/>
      <c r="J141" s="327"/>
      <c r="K141" s="268"/>
      <c r="L141" s="267"/>
    </row>
    <row r="142" spans="1:12">
      <c r="A142" s="268">
        <f t="shared" si="2"/>
        <v>45477.840324074074</v>
      </c>
      <c r="B142" s="266"/>
      <c r="C142" s="267" t="e">
        <f>HLOOKUP(A142,'Courbe In'!$AA$2:$CD$3,2)</f>
        <v>#VALUE!</v>
      </c>
      <c r="D142" s="267" t="e">
        <f ca="1">HLOOKUP(A142,'Courbe In'!$AA$2:$CD$7,5)</f>
        <v>#VALUE!</v>
      </c>
      <c r="E142" s="267" t="e">
        <f>HLOOKUP(A142,'Courbe In'!$AA$2:$CD$7,4)</f>
        <v>#VALUE!</v>
      </c>
      <c r="F142" s="267" t="e">
        <f ca="1">HLOOKUP(A142,'Courbe In'!$AA$2:$CD$7,6)</f>
        <v>#VALUE!</v>
      </c>
      <c r="G142" s="267" t="e">
        <f>HLOOKUP(A142,'Courbe In'!$AA$2:$CD$8,7)</f>
        <v>#VALUE!</v>
      </c>
      <c r="H142" s="267" t="e">
        <f>HLOOKUP(A142,'Courbe In'!$AA$2:$CD$9,8)</f>
        <v>#VALUE!</v>
      </c>
      <c r="I142" s="266"/>
      <c r="J142" s="327"/>
      <c r="K142" s="268"/>
      <c r="L142" s="267"/>
    </row>
    <row r="143" spans="1:12">
      <c r="A143" s="268">
        <f t="shared" si="2"/>
        <v>45478.840324074074</v>
      </c>
      <c r="B143" s="266"/>
      <c r="C143" s="267" t="e">
        <f>HLOOKUP(A143,'Courbe In'!$AA$2:$CD$3,2)</f>
        <v>#VALUE!</v>
      </c>
      <c r="D143" s="267" t="e">
        <f ca="1">HLOOKUP(A143,'Courbe In'!$AA$2:$CD$7,5)</f>
        <v>#VALUE!</v>
      </c>
      <c r="E143" s="267" t="e">
        <f>HLOOKUP(A143,'Courbe In'!$AA$2:$CD$7,4)</f>
        <v>#VALUE!</v>
      </c>
      <c r="F143" s="267" t="e">
        <f ca="1">HLOOKUP(A143,'Courbe In'!$AA$2:$CD$7,6)</f>
        <v>#VALUE!</v>
      </c>
      <c r="G143" s="267" t="e">
        <f>HLOOKUP(A143,'Courbe In'!$AA$2:$CD$8,7)</f>
        <v>#VALUE!</v>
      </c>
      <c r="H143" s="267" t="e">
        <f>HLOOKUP(A143,'Courbe In'!$AA$2:$CD$9,8)</f>
        <v>#VALUE!</v>
      </c>
      <c r="I143" s="266"/>
      <c r="J143" s="327"/>
      <c r="K143" s="268"/>
      <c r="L143" s="267"/>
    </row>
    <row r="144" spans="1:12">
      <c r="A144" s="268">
        <f t="shared" si="2"/>
        <v>45479.840324074074</v>
      </c>
      <c r="B144" s="266"/>
      <c r="C144" s="267" t="e">
        <f>HLOOKUP(A144,'Courbe In'!$AA$2:$CD$3,2)</f>
        <v>#VALUE!</v>
      </c>
      <c r="D144" s="267" t="e">
        <f ca="1">HLOOKUP(A144,'Courbe In'!$AA$2:$CD$7,5)</f>
        <v>#VALUE!</v>
      </c>
      <c r="E144" s="267" t="e">
        <f>HLOOKUP(A144,'Courbe In'!$AA$2:$CD$7,4)</f>
        <v>#VALUE!</v>
      </c>
      <c r="F144" s="267" t="e">
        <f ca="1">HLOOKUP(A144,'Courbe In'!$AA$2:$CD$7,6)</f>
        <v>#VALUE!</v>
      </c>
      <c r="G144" s="267" t="e">
        <f>HLOOKUP(A144,'Courbe In'!$AA$2:$CD$8,7)</f>
        <v>#VALUE!</v>
      </c>
      <c r="H144" s="267" t="e">
        <f>HLOOKUP(A144,'Courbe In'!$AA$2:$CD$9,8)</f>
        <v>#VALUE!</v>
      </c>
      <c r="I144" s="266"/>
      <c r="J144" s="327"/>
      <c r="K144" s="268"/>
      <c r="L144" s="267"/>
    </row>
    <row r="145" spans="1:12">
      <c r="A145" s="268">
        <f t="shared" si="2"/>
        <v>45480.840324074074</v>
      </c>
      <c r="B145" s="266"/>
      <c r="C145" s="267" t="e">
        <f>HLOOKUP(A145,'Courbe In'!$AA$2:$CD$3,2)</f>
        <v>#VALUE!</v>
      </c>
      <c r="D145" s="267" t="e">
        <f ca="1">HLOOKUP(A145,'Courbe In'!$AA$2:$CD$7,5)</f>
        <v>#VALUE!</v>
      </c>
      <c r="E145" s="267" t="e">
        <f>HLOOKUP(A145,'Courbe In'!$AA$2:$CD$7,4)</f>
        <v>#VALUE!</v>
      </c>
      <c r="F145" s="267" t="e">
        <f ca="1">HLOOKUP(A145,'Courbe In'!$AA$2:$CD$7,6)</f>
        <v>#VALUE!</v>
      </c>
      <c r="G145" s="267" t="e">
        <f>HLOOKUP(A145,'Courbe In'!$AA$2:$CD$8,7)</f>
        <v>#VALUE!</v>
      </c>
      <c r="H145" s="267" t="e">
        <f>HLOOKUP(A145,'Courbe In'!$AA$2:$CD$9,8)</f>
        <v>#VALUE!</v>
      </c>
      <c r="I145" s="266"/>
      <c r="J145" s="327"/>
      <c r="K145" s="268"/>
      <c r="L145" s="267"/>
    </row>
    <row r="146" spans="1:12">
      <c r="A146" s="268">
        <f t="shared" si="2"/>
        <v>45481.840324074074</v>
      </c>
      <c r="B146" s="266"/>
      <c r="C146" s="267" t="e">
        <f>HLOOKUP(A146,'Courbe In'!$AA$2:$CD$3,2)</f>
        <v>#VALUE!</v>
      </c>
      <c r="D146" s="267" t="e">
        <f ca="1">HLOOKUP(A146,'Courbe In'!$AA$2:$CD$7,5)</f>
        <v>#VALUE!</v>
      </c>
      <c r="E146" s="267" t="e">
        <f>HLOOKUP(A146,'Courbe In'!$AA$2:$CD$7,4)</f>
        <v>#VALUE!</v>
      </c>
      <c r="F146" s="267" t="e">
        <f ca="1">HLOOKUP(A146,'Courbe In'!$AA$2:$CD$7,6)</f>
        <v>#VALUE!</v>
      </c>
      <c r="G146" s="267" t="e">
        <f>HLOOKUP(A146,'Courbe In'!$AA$2:$CD$8,7)</f>
        <v>#VALUE!</v>
      </c>
      <c r="H146" s="267" t="e">
        <f>HLOOKUP(A146,'Courbe In'!$AA$2:$CD$9,8)</f>
        <v>#VALUE!</v>
      </c>
      <c r="I146" s="266"/>
      <c r="J146" s="327"/>
      <c r="K146" s="268"/>
      <c r="L146" s="267"/>
    </row>
    <row r="147" spans="1:12">
      <c r="A147" s="268">
        <f t="shared" si="2"/>
        <v>45482.840324074074</v>
      </c>
      <c r="B147" s="266"/>
      <c r="C147" s="267" t="e">
        <f>HLOOKUP(A147,'Courbe In'!$AA$2:$CD$3,2)</f>
        <v>#VALUE!</v>
      </c>
      <c r="D147" s="267" t="e">
        <f ca="1">HLOOKUP(A147,'Courbe In'!$AA$2:$CD$7,5)</f>
        <v>#VALUE!</v>
      </c>
      <c r="E147" s="267" t="e">
        <f>HLOOKUP(A147,'Courbe In'!$AA$2:$CD$7,4)</f>
        <v>#VALUE!</v>
      </c>
      <c r="F147" s="267" t="e">
        <f ca="1">HLOOKUP(A147,'Courbe In'!$AA$2:$CD$7,6)</f>
        <v>#VALUE!</v>
      </c>
      <c r="G147" s="267" t="e">
        <f>HLOOKUP(A147,'Courbe In'!$AA$2:$CD$8,7)</f>
        <v>#VALUE!</v>
      </c>
      <c r="H147" s="267" t="e">
        <f>HLOOKUP(A147,'Courbe In'!$AA$2:$CD$9,8)</f>
        <v>#VALUE!</v>
      </c>
      <c r="I147" s="266"/>
      <c r="J147" s="327"/>
      <c r="K147" s="268"/>
      <c r="L147" s="267"/>
    </row>
    <row r="148" spans="1:12">
      <c r="A148" s="268">
        <f t="shared" si="2"/>
        <v>45483.840324074074</v>
      </c>
      <c r="B148" s="266"/>
      <c r="C148" s="267" t="e">
        <f>HLOOKUP(A148,'Courbe In'!$AA$2:$CD$3,2)</f>
        <v>#VALUE!</v>
      </c>
      <c r="D148" s="267" t="e">
        <f ca="1">HLOOKUP(A148,'Courbe In'!$AA$2:$CD$7,5)</f>
        <v>#VALUE!</v>
      </c>
      <c r="E148" s="267" t="e">
        <f>HLOOKUP(A148,'Courbe In'!$AA$2:$CD$7,4)</f>
        <v>#VALUE!</v>
      </c>
      <c r="F148" s="267" t="e">
        <f ca="1">HLOOKUP(A148,'Courbe In'!$AA$2:$CD$7,6)</f>
        <v>#VALUE!</v>
      </c>
      <c r="G148" s="267" t="e">
        <f>HLOOKUP(A148,'Courbe In'!$AA$2:$CD$8,7)</f>
        <v>#VALUE!</v>
      </c>
      <c r="H148" s="267" t="e">
        <f>HLOOKUP(A148,'Courbe In'!$AA$2:$CD$9,8)</f>
        <v>#VALUE!</v>
      </c>
      <c r="I148" s="266"/>
      <c r="J148" s="327"/>
      <c r="K148" s="268"/>
      <c r="L148" s="267"/>
    </row>
    <row r="149" spans="1:12">
      <c r="A149" s="268">
        <f t="shared" si="2"/>
        <v>45484.840324074074</v>
      </c>
      <c r="B149" s="266"/>
      <c r="C149" s="267" t="e">
        <f>HLOOKUP(A149,'Courbe In'!$AA$2:$CD$3,2)</f>
        <v>#VALUE!</v>
      </c>
      <c r="D149" s="267" t="e">
        <f ca="1">HLOOKUP(A149,'Courbe In'!$AA$2:$CD$7,5)</f>
        <v>#VALUE!</v>
      </c>
      <c r="E149" s="267" t="e">
        <f>HLOOKUP(A149,'Courbe In'!$AA$2:$CD$7,4)</f>
        <v>#VALUE!</v>
      </c>
      <c r="F149" s="267" t="e">
        <f ca="1">HLOOKUP(A149,'Courbe In'!$AA$2:$CD$7,6)</f>
        <v>#VALUE!</v>
      </c>
      <c r="G149" s="267" t="e">
        <f>HLOOKUP(A149,'Courbe In'!$AA$2:$CD$8,7)</f>
        <v>#VALUE!</v>
      </c>
      <c r="H149" s="267" t="e">
        <f>HLOOKUP(A149,'Courbe In'!$AA$2:$CD$9,8)</f>
        <v>#VALUE!</v>
      </c>
      <c r="I149" s="266"/>
      <c r="J149" s="327"/>
      <c r="K149" s="268"/>
      <c r="L149" s="267"/>
    </row>
    <row r="150" spans="1:12">
      <c r="A150" s="268">
        <f t="shared" si="2"/>
        <v>45485.840324074074</v>
      </c>
      <c r="B150" s="266"/>
      <c r="C150" s="267" t="e">
        <f>HLOOKUP(A150,'Courbe In'!$AA$2:$CD$3,2)</f>
        <v>#VALUE!</v>
      </c>
      <c r="D150" s="267" t="e">
        <f ca="1">HLOOKUP(A150,'Courbe In'!$AA$2:$CD$7,5)</f>
        <v>#VALUE!</v>
      </c>
      <c r="E150" s="267" t="e">
        <f>HLOOKUP(A150,'Courbe In'!$AA$2:$CD$7,4)</f>
        <v>#VALUE!</v>
      </c>
      <c r="F150" s="267" t="e">
        <f ca="1">HLOOKUP(A150,'Courbe In'!$AA$2:$CD$7,6)</f>
        <v>#VALUE!</v>
      </c>
      <c r="G150" s="267" t="e">
        <f>HLOOKUP(A150,'Courbe In'!$AA$2:$CD$8,7)</f>
        <v>#VALUE!</v>
      </c>
      <c r="H150" s="267" t="e">
        <f>HLOOKUP(A150,'Courbe In'!$AA$2:$CD$9,8)</f>
        <v>#VALUE!</v>
      </c>
      <c r="I150" s="266"/>
      <c r="J150" s="327"/>
      <c r="K150" s="268"/>
      <c r="L150" s="267"/>
    </row>
    <row r="151" spans="1:12">
      <c r="A151" s="268">
        <f t="shared" si="2"/>
        <v>45486.840324074074</v>
      </c>
      <c r="B151" s="266"/>
      <c r="C151" s="267" t="e">
        <f>HLOOKUP(A151,'Courbe In'!$AA$2:$CD$3,2)</f>
        <v>#VALUE!</v>
      </c>
      <c r="D151" s="267" t="e">
        <f ca="1">HLOOKUP(A151,'Courbe In'!$AA$2:$CD$7,5)</f>
        <v>#VALUE!</v>
      </c>
      <c r="E151" s="267" t="e">
        <f>HLOOKUP(A151,'Courbe In'!$AA$2:$CD$7,4)</f>
        <v>#VALUE!</v>
      </c>
      <c r="F151" s="267" t="e">
        <f ca="1">HLOOKUP(A151,'Courbe In'!$AA$2:$CD$7,6)</f>
        <v>#VALUE!</v>
      </c>
      <c r="G151" s="267" t="e">
        <f>HLOOKUP(A151,'Courbe In'!$AA$2:$CD$8,7)</f>
        <v>#VALUE!</v>
      </c>
      <c r="H151" s="267" t="e">
        <f>HLOOKUP(A151,'Courbe In'!$AA$2:$CD$9,8)</f>
        <v>#VALUE!</v>
      </c>
      <c r="I151" s="266"/>
      <c r="J151" s="327"/>
      <c r="K151" s="268"/>
      <c r="L151" s="267"/>
    </row>
    <row r="152" spans="1:12">
      <c r="A152" s="268">
        <f t="shared" si="2"/>
        <v>45487.840324074074</v>
      </c>
      <c r="B152" s="266"/>
      <c r="C152" s="267" t="e">
        <f>HLOOKUP(A152,'Courbe In'!$AA$2:$CD$3,2)</f>
        <v>#VALUE!</v>
      </c>
      <c r="D152" s="267" t="e">
        <f ca="1">HLOOKUP(A152,'Courbe In'!$AA$2:$CD$7,5)</f>
        <v>#VALUE!</v>
      </c>
      <c r="E152" s="267" t="e">
        <f>HLOOKUP(A152,'Courbe In'!$AA$2:$CD$7,4)</f>
        <v>#VALUE!</v>
      </c>
      <c r="F152" s="267" t="e">
        <f ca="1">HLOOKUP(A152,'Courbe In'!$AA$2:$CD$7,6)</f>
        <v>#VALUE!</v>
      </c>
      <c r="G152" s="267" t="e">
        <f>HLOOKUP(A152,'Courbe In'!$AA$2:$CD$8,7)</f>
        <v>#VALUE!</v>
      </c>
      <c r="H152" s="267" t="e">
        <f>HLOOKUP(A152,'Courbe In'!$AA$2:$CD$9,8)</f>
        <v>#VALUE!</v>
      </c>
      <c r="I152" s="266"/>
      <c r="J152" s="327"/>
      <c r="K152" s="268"/>
      <c r="L152" s="267"/>
    </row>
    <row r="153" spans="1:12">
      <c r="A153" s="268">
        <f t="shared" si="2"/>
        <v>45488.840324074074</v>
      </c>
      <c r="B153" s="266"/>
      <c r="C153" s="267" t="e">
        <f>HLOOKUP(A153,'Courbe In'!$AA$2:$CD$3,2)</f>
        <v>#VALUE!</v>
      </c>
      <c r="D153" s="267" t="e">
        <f ca="1">HLOOKUP(A153,'Courbe In'!$AA$2:$CD$7,5)</f>
        <v>#VALUE!</v>
      </c>
      <c r="E153" s="267" t="e">
        <f>HLOOKUP(A153,'Courbe In'!$AA$2:$CD$7,4)</f>
        <v>#VALUE!</v>
      </c>
      <c r="F153" s="267" t="e">
        <f ca="1">HLOOKUP(A153,'Courbe In'!$AA$2:$CD$7,6)</f>
        <v>#VALUE!</v>
      </c>
      <c r="G153" s="267" t="e">
        <f>HLOOKUP(A153,'Courbe In'!$AA$2:$CD$8,7)</f>
        <v>#VALUE!</v>
      </c>
      <c r="H153" s="267" t="e">
        <f>HLOOKUP(A153,'Courbe In'!$AA$2:$CD$9,8)</f>
        <v>#VALUE!</v>
      </c>
      <c r="I153" s="266"/>
      <c r="J153" s="327"/>
      <c r="K153" s="268"/>
      <c r="L153" s="267"/>
    </row>
    <row r="154" spans="1:12">
      <c r="A154" s="268">
        <f t="shared" si="2"/>
        <v>45489.840324074074</v>
      </c>
      <c r="B154" s="266"/>
      <c r="C154" s="267" t="e">
        <f>HLOOKUP(A154,'Courbe In'!$AA$2:$CD$3,2)</f>
        <v>#VALUE!</v>
      </c>
      <c r="D154" s="267" t="e">
        <f ca="1">HLOOKUP(A154,'Courbe In'!$AA$2:$CD$7,5)</f>
        <v>#VALUE!</v>
      </c>
      <c r="E154" s="267" t="e">
        <f>HLOOKUP(A154,'Courbe In'!$AA$2:$CD$7,4)</f>
        <v>#VALUE!</v>
      </c>
      <c r="F154" s="267" t="e">
        <f ca="1">HLOOKUP(A154,'Courbe In'!$AA$2:$CD$7,6)</f>
        <v>#VALUE!</v>
      </c>
      <c r="G154" s="267" t="e">
        <f>HLOOKUP(A154,'Courbe In'!$AA$2:$CD$8,7)</f>
        <v>#VALUE!</v>
      </c>
      <c r="H154" s="267" t="e">
        <f>HLOOKUP(A154,'Courbe In'!$AA$2:$CD$9,8)</f>
        <v>#VALUE!</v>
      </c>
      <c r="I154" s="266"/>
      <c r="J154" s="327"/>
      <c r="K154" s="268"/>
      <c r="L154" s="267"/>
    </row>
    <row r="155" spans="1:12">
      <c r="A155" s="268">
        <f t="shared" si="2"/>
        <v>45490.840324074074</v>
      </c>
      <c r="B155" s="266"/>
      <c r="C155" s="267" t="e">
        <f>HLOOKUP(A155,'Courbe In'!$AA$2:$CD$3,2)</f>
        <v>#VALUE!</v>
      </c>
      <c r="D155" s="267" t="e">
        <f ca="1">HLOOKUP(A155,'Courbe In'!$AA$2:$CD$7,5)</f>
        <v>#VALUE!</v>
      </c>
      <c r="E155" s="267" t="e">
        <f>HLOOKUP(A155,'Courbe In'!$AA$2:$CD$7,4)</f>
        <v>#VALUE!</v>
      </c>
      <c r="F155" s="267" t="e">
        <f ca="1">HLOOKUP(A155,'Courbe In'!$AA$2:$CD$7,6)</f>
        <v>#VALUE!</v>
      </c>
      <c r="G155" s="267" t="e">
        <f>HLOOKUP(A155,'Courbe In'!$AA$2:$CD$8,7)</f>
        <v>#VALUE!</v>
      </c>
      <c r="H155" s="267" t="e">
        <f>HLOOKUP(A155,'Courbe In'!$AA$2:$CD$9,8)</f>
        <v>#VALUE!</v>
      </c>
      <c r="I155" s="266"/>
      <c r="J155" s="327"/>
      <c r="K155" s="268"/>
      <c r="L155" s="267"/>
    </row>
    <row r="156" spans="1:12">
      <c r="A156" s="268">
        <f t="shared" si="2"/>
        <v>45491.840324074074</v>
      </c>
      <c r="B156" s="266"/>
      <c r="C156" s="267" t="e">
        <f>HLOOKUP(A156,'Courbe In'!$AA$2:$CD$3,2)</f>
        <v>#VALUE!</v>
      </c>
      <c r="D156" s="267" t="e">
        <f ca="1">HLOOKUP(A156,'Courbe In'!$AA$2:$CD$7,5)</f>
        <v>#VALUE!</v>
      </c>
      <c r="E156" s="267" t="e">
        <f>HLOOKUP(A156,'Courbe In'!$AA$2:$CD$7,4)</f>
        <v>#VALUE!</v>
      </c>
      <c r="F156" s="267" t="e">
        <f ca="1">HLOOKUP(A156,'Courbe In'!$AA$2:$CD$7,6)</f>
        <v>#VALUE!</v>
      </c>
      <c r="G156" s="267" t="e">
        <f>HLOOKUP(A156,'Courbe In'!$AA$2:$CD$8,7)</f>
        <v>#VALUE!</v>
      </c>
      <c r="H156" s="267" t="e">
        <f>HLOOKUP(A156,'Courbe In'!$AA$2:$CD$9,8)</f>
        <v>#VALUE!</v>
      </c>
      <c r="I156" s="266"/>
      <c r="J156" s="327"/>
      <c r="K156" s="268"/>
      <c r="L156" s="267"/>
    </row>
    <row r="157" spans="1:12">
      <c r="A157" s="268">
        <f t="shared" si="2"/>
        <v>45492.840324074074</v>
      </c>
      <c r="B157" s="266"/>
      <c r="C157" s="267" t="e">
        <f>HLOOKUP(A157,'Courbe In'!$AA$2:$CD$3,2)</f>
        <v>#VALUE!</v>
      </c>
      <c r="D157" s="267" t="e">
        <f ca="1">HLOOKUP(A157,'Courbe In'!$AA$2:$CD$7,5)</f>
        <v>#VALUE!</v>
      </c>
      <c r="E157" s="267" t="e">
        <f>HLOOKUP(A157,'Courbe In'!$AA$2:$CD$7,4)</f>
        <v>#VALUE!</v>
      </c>
      <c r="F157" s="267" t="e">
        <f ca="1">HLOOKUP(A157,'Courbe In'!$AA$2:$CD$7,6)</f>
        <v>#VALUE!</v>
      </c>
      <c r="G157" s="267" t="e">
        <f>HLOOKUP(A157,'Courbe In'!$AA$2:$CD$8,7)</f>
        <v>#VALUE!</v>
      </c>
      <c r="H157" s="267" t="e">
        <f>HLOOKUP(A157,'Courbe In'!$AA$2:$CD$9,8)</f>
        <v>#VALUE!</v>
      </c>
      <c r="I157" s="266"/>
      <c r="J157" s="327"/>
      <c r="K157" s="268"/>
      <c r="L157" s="267"/>
    </row>
    <row r="158" spans="1:12">
      <c r="A158" s="268">
        <f t="shared" si="2"/>
        <v>45493.840324074074</v>
      </c>
      <c r="B158" s="266"/>
      <c r="C158" s="267" t="e">
        <f>HLOOKUP(A158,'Courbe In'!$AA$2:$CD$3,2)</f>
        <v>#VALUE!</v>
      </c>
      <c r="D158" s="267" t="e">
        <f ca="1">HLOOKUP(A158,'Courbe In'!$AA$2:$CD$7,5)</f>
        <v>#VALUE!</v>
      </c>
      <c r="E158" s="267" t="e">
        <f>HLOOKUP(A158,'Courbe In'!$AA$2:$CD$7,4)</f>
        <v>#VALUE!</v>
      </c>
      <c r="F158" s="267" t="e">
        <f ca="1">HLOOKUP(A158,'Courbe In'!$AA$2:$CD$7,6)</f>
        <v>#VALUE!</v>
      </c>
      <c r="G158" s="267" t="e">
        <f>HLOOKUP(A158,'Courbe In'!$AA$2:$CD$8,7)</f>
        <v>#VALUE!</v>
      </c>
      <c r="H158" s="267" t="e">
        <f>HLOOKUP(A158,'Courbe In'!$AA$2:$CD$9,8)</f>
        <v>#VALUE!</v>
      </c>
      <c r="I158" s="266"/>
      <c r="J158" s="327"/>
      <c r="K158" s="268"/>
      <c r="L158" s="267"/>
    </row>
    <row r="159" spans="1:12">
      <c r="A159" s="268">
        <f t="shared" si="2"/>
        <v>45494.840324074074</v>
      </c>
      <c r="B159" s="266"/>
      <c r="C159" s="267" t="e">
        <f>HLOOKUP(A159,'Courbe In'!$AA$2:$CD$3,2)</f>
        <v>#VALUE!</v>
      </c>
      <c r="D159" s="267" t="e">
        <f ca="1">HLOOKUP(A159,'Courbe In'!$AA$2:$CD$7,5)</f>
        <v>#VALUE!</v>
      </c>
      <c r="E159" s="267" t="e">
        <f>HLOOKUP(A159,'Courbe In'!$AA$2:$CD$7,4)</f>
        <v>#VALUE!</v>
      </c>
      <c r="F159" s="267" t="e">
        <f ca="1">HLOOKUP(A159,'Courbe In'!$AA$2:$CD$7,6)</f>
        <v>#VALUE!</v>
      </c>
      <c r="G159" s="267" t="e">
        <f>HLOOKUP(A159,'Courbe In'!$AA$2:$CD$8,7)</f>
        <v>#VALUE!</v>
      </c>
      <c r="H159" s="267" t="e">
        <f>HLOOKUP(A159,'Courbe In'!$AA$2:$CD$9,8)</f>
        <v>#VALUE!</v>
      </c>
      <c r="I159" s="266"/>
      <c r="J159" s="327"/>
      <c r="K159" s="268"/>
      <c r="L159" s="267"/>
    </row>
    <row r="160" spans="1:12">
      <c r="A160" s="268">
        <f t="shared" si="2"/>
        <v>45495.840324074074</v>
      </c>
      <c r="B160" s="266"/>
      <c r="C160" s="267" t="e">
        <f>HLOOKUP(A160,'Courbe In'!$AA$2:$CD$3,2)</f>
        <v>#VALUE!</v>
      </c>
      <c r="D160" s="267" t="e">
        <f ca="1">HLOOKUP(A160,'Courbe In'!$AA$2:$CD$7,5)</f>
        <v>#VALUE!</v>
      </c>
      <c r="E160" s="267" t="e">
        <f>HLOOKUP(A160,'Courbe In'!$AA$2:$CD$7,4)</f>
        <v>#VALUE!</v>
      </c>
      <c r="F160" s="267" t="e">
        <f ca="1">HLOOKUP(A160,'Courbe In'!$AA$2:$CD$7,6)</f>
        <v>#VALUE!</v>
      </c>
      <c r="G160" s="267" t="e">
        <f>HLOOKUP(A160,'Courbe In'!$AA$2:$CD$8,7)</f>
        <v>#VALUE!</v>
      </c>
      <c r="H160" s="267" t="e">
        <f>HLOOKUP(A160,'Courbe In'!$AA$2:$CD$9,8)</f>
        <v>#VALUE!</v>
      </c>
      <c r="I160" s="266"/>
      <c r="J160" s="327"/>
      <c r="K160" s="268"/>
      <c r="L160" s="267"/>
    </row>
    <row r="161" spans="1:12">
      <c r="A161" s="268">
        <f t="shared" si="2"/>
        <v>45496.840324074074</v>
      </c>
      <c r="B161" s="266"/>
      <c r="C161" s="267" t="e">
        <f>HLOOKUP(A161,'Courbe In'!$AA$2:$CD$3,2)</f>
        <v>#VALUE!</v>
      </c>
      <c r="D161" s="267" t="e">
        <f ca="1">HLOOKUP(A161,'Courbe In'!$AA$2:$CD$7,5)</f>
        <v>#VALUE!</v>
      </c>
      <c r="E161" s="267" t="e">
        <f>HLOOKUP(A161,'Courbe In'!$AA$2:$CD$7,4)</f>
        <v>#VALUE!</v>
      </c>
      <c r="F161" s="267" t="e">
        <f ca="1">HLOOKUP(A161,'Courbe In'!$AA$2:$CD$7,6)</f>
        <v>#VALUE!</v>
      </c>
      <c r="G161" s="267" t="e">
        <f>HLOOKUP(A161,'Courbe In'!$AA$2:$CD$8,7)</f>
        <v>#VALUE!</v>
      </c>
      <c r="H161" s="267" t="e">
        <f>HLOOKUP(A161,'Courbe In'!$AA$2:$CD$9,8)</f>
        <v>#VALUE!</v>
      </c>
      <c r="I161" s="266"/>
      <c r="J161" s="327"/>
      <c r="K161" s="268"/>
      <c r="L161" s="267"/>
    </row>
    <row r="162" spans="1:12">
      <c r="A162" s="268">
        <f t="shared" si="2"/>
        <v>45497.840324074074</v>
      </c>
      <c r="B162" s="266"/>
      <c r="C162" s="267" t="e">
        <f>HLOOKUP(A162,'Courbe In'!$AA$2:$CD$3,2)</f>
        <v>#VALUE!</v>
      </c>
      <c r="D162" s="267" t="e">
        <f ca="1">HLOOKUP(A162,'Courbe In'!$AA$2:$CD$7,5)</f>
        <v>#VALUE!</v>
      </c>
      <c r="E162" s="267" t="e">
        <f>HLOOKUP(A162,'Courbe In'!$AA$2:$CD$7,4)</f>
        <v>#VALUE!</v>
      </c>
      <c r="F162" s="267" t="e">
        <f ca="1">HLOOKUP(A162,'Courbe In'!$AA$2:$CD$7,6)</f>
        <v>#VALUE!</v>
      </c>
      <c r="G162" s="267" t="e">
        <f>HLOOKUP(A162,'Courbe In'!$AA$2:$CD$8,7)</f>
        <v>#VALUE!</v>
      </c>
      <c r="H162" s="267" t="e">
        <f>HLOOKUP(A162,'Courbe In'!$AA$2:$CD$9,8)</f>
        <v>#VALUE!</v>
      </c>
      <c r="I162" s="266"/>
      <c r="J162" s="327"/>
      <c r="K162" s="268"/>
      <c r="L162" s="267"/>
    </row>
    <row r="163" spans="1:12">
      <c r="A163" s="268">
        <f t="shared" si="2"/>
        <v>45498.840324074074</v>
      </c>
      <c r="B163" s="266"/>
      <c r="C163" s="267" t="e">
        <f>HLOOKUP(A163,'Courbe In'!$AA$2:$CD$3,2)</f>
        <v>#VALUE!</v>
      </c>
      <c r="D163" s="267" t="e">
        <f ca="1">HLOOKUP(A163,'Courbe In'!$AA$2:$CD$7,5)</f>
        <v>#VALUE!</v>
      </c>
      <c r="E163" s="267" t="e">
        <f>HLOOKUP(A163,'Courbe In'!$AA$2:$CD$7,4)</f>
        <v>#VALUE!</v>
      </c>
      <c r="F163" s="267" t="e">
        <f ca="1">HLOOKUP(A163,'Courbe In'!$AA$2:$CD$7,6)</f>
        <v>#VALUE!</v>
      </c>
      <c r="G163" s="267" t="e">
        <f>HLOOKUP(A163,'Courbe In'!$AA$2:$CD$8,7)</f>
        <v>#VALUE!</v>
      </c>
      <c r="H163" s="267" t="e">
        <f>HLOOKUP(A163,'Courbe In'!$AA$2:$CD$9,8)</f>
        <v>#VALUE!</v>
      </c>
      <c r="I163" s="266"/>
      <c r="J163" s="327"/>
      <c r="K163" s="268"/>
      <c r="L163" s="267"/>
    </row>
    <row r="164" spans="1:12">
      <c r="A164" s="268">
        <f t="shared" si="2"/>
        <v>45499.840324074074</v>
      </c>
      <c r="B164" s="266"/>
      <c r="C164" s="267" t="e">
        <f>HLOOKUP(A164,'Courbe In'!$AA$2:$CD$3,2)</f>
        <v>#VALUE!</v>
      </c>
      <c r="D164" s="267" t="e">
        <f ca="1">HLOOKUP(A164,'Courbe In'!$AA$2:$CD$7,5)</f>
        <v>#VALUE!</v>
      </c>
      <c r="E164" s="267" t="e">
        <f>HLOOKUP(A164,'Courbe In'!$AA$2:$CD$7,4)</f>
        <v>#VALUE!</v>
      </c>
      <c r="F164" s="267" t="e">
        <f ca="1">HLOOKUP(A164,'Courbe In'!$AA$2:$CD$7,6)</f>
        <v>#VALUE!</v>
      </c>
      <c r="G164" s="267" t="e">
        <f>HLOOKUP(A164,'Courbe In'!$AA$2:$CD$8,7)</f>
        <v>#VALUE!</v>
      </c>
      <c r="H164" s="267" t="e">
        <f>HLOOKUP(A164,'Courbe In'!$AA$2:$CD$9,8)</f>
        <v>#VALUE!</v>
      </c>
      <c r="I164" s="266"/>
      <c r="J164" s="327"/>
      <c r="K164" s="268"/>
      <c r="L164" s="267"/>
    </row>
    <row r="165" spans="1:12">
      <c r="A165" s="268">
        <f t="shared" si="2"/>
        <v>45500.840324074074</v>
      </c>
      <c r="B165" s="266"/>
      <c r="C165" s="267" t="e">
        <f>HLOOKUP(A165,'Courbe In'!$AA$2:$CD$3,2)</f>
        <v>#VALUE!</v>
      </c>
      <c r="D165" s="267" t="e">
        <f ca="1">HLOOKUP(A165,'Courbe In'!$AA$2:$CD$7,5)</f>
        <v>#VALUE!</v>
      </c>
      <c r="E165" s="267" t="e">
        <f>HLOOKUP(A165,'Courbe In'!$AA$2:$CD$7,4)</f>
        <v>#VALUE!</v>
      </c>
      <c r="F165" s="267" t="e">
        <f ca="1">HLOOKUP(A165,'Courbe In'!$AA$2:$CD$7,6)</f>
        <v>#VALUE!</v>
      </c>
      <c r="G165" s="267" t="e">
        <f>HLOOKUP(A165,'Courbe In'!$AA$2:$CD$8,7)</f>
        <v>#VALUE!</v>
      </c>
      <c r="H165" s="267" t="e">
        <f>HLOOKUP(A165,'Courbe In'!$AA$2:$CD$9,8)</f>
        <v>#VALUE!</v>
      </c>
      <c r="I165" s="266"/>
      <c r="J165" s="327"/>
      <c r="K165" s="268"/>
      <c r="L165" s="267"/>
    </row>
    <row r="166" spans="1:12">
      <c r="A166" s="268">
        <f t="shared" si="2"/>
        <v>45501.840324074074</v>
      </c>
      <c r="B166" s="266"/>
      <c r="C166" s="267" t="e">
        <f>HLOOKUP(A166,'Courbe In'!$AA$2:$CD$3,2)</f>
        <v>#VALUE!</v>
      </c>
      <c r="D166" s="267" t="e">
        <f ca="1">HLOOKUP(A166,'Courbe In'!$AA$2:$CD$7,5)</f>
        <v>#VALUE!</v>
      </c>
      <c r="E166" s="267" t="e">
        <f>HLOOKUP(A166,'Courbe In'!$AA$2:$CD$7,4)</f>
        <v>#VALUE!</v>
      </c>
      <c r="F166" s="267" t="e">
        <f ca="1">HLOOKUP(A166,'Courbe In'!$AA$2:$CD$7,6)</f>
        <v>#VALUE!</v>
      </c>
      <c r="G166" s="267" t="e">
        <f>HLOOKUP(A166,'Courbe In'!$AA$2:$CD$8,7)</f>
        <v>#VALUE!</v>
      </c>
      <c r="H166" s="267" t="e">
        <f>HLOOKUP(A166,'Courbe In'!$AA$2:$CD$9,8)</f>
        <v>#VALUE!</v>
      </c>
      <c r="I166" s="266"/>
      <c r="J166" s="327"/>
      <c r="K166" s="268"/>
      <c r="L166" s="267"/>
    </row>
    <row r="167" spans="1:12">
      <c r="A167" s="268">
        <f t="shared" si="2"/>
        <v>45502.840324074074</v>
      </c>
      <c r="B167" s="266"/>
      <c r="C167" s="267" t="e">
        <f>HLOOKUP(A167,'Courbe In'!$AA$2:$CD$3,2)</f>
        <v>#VALUE!</v>
      </c>
      <c r="D167" s="267" t="e">
        <f ca="1">HLOOKUP(A167,'Courbe In'!$AA$2:$CD$7,5)</f>
        <v>#VALUE!</v>
      </c>
      <c r="E167" s="267" t="e">
        <f>HLOOKUP(A167,'Courbe In'!$AA$2:$CD$7,4)</f>
        <v>#VALUE!</v>
      </c>
      <c r="F167" s="267" t="e">
        <f ca="1">HLOOKUP(A167,'Courbe In'!$AA$2:$CD$7,6)</f>
        <v>#VALUE!</v>
      </c>
      <c r="G167" s="267" t="e">
        <f>HLOOKUP(A167,'Courbe In'!$AA$2:$CD$8,7)</f>
        <v>#VALUE!</v>
      </c>
      <c r="H167" s="267" t="e">
        <f>HLOOKUP(A167,'Courbe In'!$AA$2:$CD$9,8)</f>
        <v>#VALUE!</v>
      </c>
      <c r="I167" s="266"/>
      <c r="J167" s="327"/>
      <c r="K167" s="268"/>
      <c r="L167" s="267"/>
    </row>
    <row r="168" spans="1:12">
      <c r="A168" s="268">
        <f t="shared" si="2"/>
        <v>45503.840324074074</v>
      </c>
      <c r="B168" s="266"/>
      <c r="C168" s="267" t="e">
        <f>HLOOKUP(A168,'Courbe In'!$AA$2:$CD$3,2)</f>
        <v>#VALUE!</v>
      </c>
      <c r="D168" s="267" t="e">
        <f ca="1">HLOOKUP(A168,'Courbe In'!$AA$2:$CD$7,5)</f>
        <v>#VALUE!</v>
      </c>
      <c r="E168" s="267" t="e">
        <f>HLOOKUP(A168,'Courbe In'!$AA$2:$CD$7,4)</f>
        <v>#VALUE!</v>
      </c>
      <c r="F168" s="267" t="e">
        <f ca="1">HLOOKUP(A168,'Courbe In'!$AA$2:$CD$7,6)</f>
        <v>#VALUE!</v>
      </c>
      <c r="G168" s="267" t="e">
        <f>HLOOKUP(A168,'Courbe In'!$AA$2:$CD$8,7)</f>
        <v>#VALUE!</v>
      </c>
      <c r="H168" s="267" t="e">
        <f>HLOOKUP(A168,'Courbe In'!$AA$2:$CD$9,8)</f>
        <v>#VALUE!</v>
      </c>
      <c r="I168" s="266"/>
      <c r="J168" s="327"/>
      <c r="K168" s="268"/>
      <c r="L168" s="267"/>
    </row>
    <row r="169" spans="1:12">
      <c r="A169" s="268">
        <f t="shared" si="2"/>
        <v>45504.840324074074</v>
      </c>
      <c r="B169" s="266"/>
      <c r="C169" s="267" t="e">
        <f>HLOOKUP(A169,'Courbe In'!$AA$2:$CD$3,2)</f>
        <v>#VALUE!</v>
      </c>
      <c r="D169" s="267" t="e">
        <f ca="1">HLOOKUP(A169,'Courbe In'!$AA$2:$CD$7,5)</f>
        <v>#VALUE!</v>
      </c>
      <c r="E169" s="267" t="e">
        <f>HLOOKUP(A169,'Courbe In'!$AA$2:$CD$7,4)</f>
        <v>#VALUE!</v>
      </c>
      <c r="F169" s="267" t="e">
        <f ca="1">HLOOKUP(A169,'Courbe In'!$AA$2:$CD$7,6)</f>
        <v>#VALUE!</v>
      </c>
      <c r="G169" s="267" t="e">
        <f>HLOOKUP(A169,'Courbe In'!$AA$2:$CD$8,7)</f>
        <v>#VALUE!</v>
      </c>
      <c r="H169" s="267" t="e">
        <f>HLOOKUP(A169,'Courbe In'!$AA$2:$CD$9,8)</f>
        <v>#VALUE!</v>
      </c>
      <c r="I169" s="266"/>
      <c r="J169" s="327"/>
      <c r="K169" s="268"/>
      <c r="L169" s="267"/>
    </row>
    <row r="170" spans="1:12">
      <c r="A170" s="268">
        <f t="shared" si="2"/>
        <v>45505.840324074074</v>
      </c>
      <c r="B170" s="266"/>
      <c r="C170" s="267" t="e">
        <f>HLOOKUP(A170,'Courbe In'!$AA$2:$CD$3,2)</f>
        <v>#VALUE!</v>
      </c>
      <c r="D170" s="267" t="e">
        <f ca="1">HLOOKUP(A170,'Courbe In'!$AA$2:$CD$7,5)</f>
        <v>#VALUE!</v>
      </c>
      <c r="E170" s="267" t="e">
        <f>HLOOKUP(A170,'Courbe In'!$AA$2:$CD$7,4)</f>
        <v>#VALUE!</v>
      </c>
      <c r="F170" s="267" t="e">
        <f ca="1">HLOOKUP(A170,'Courbe In'!$AA$2:$CD$7,6)</f>
        <v>#VALUE!</v>
      </c>
      <c r="G170" s="267" t="e">
        <f>HLOOKUP(A170,'Courbe In'!$AA$2:$CD$8,7)</f>
        <v>#VALUE!</v>
      </c>
      <c r="H170" s="267" t="e">
        <f>HLOOKUP(A170,'Courbe In'!$AA$2:$CD$9,8)</f>
        <v>#VALUE!</v>
      </c>
      <c r="I170" s="266"/>
      <c r="J170" s="327"/>
      <c r="K170" s="268"/>
      <c r="L170" s="267"/>
    </row>
    <row r="171" spans="1:12">
      <c r="A171" s="268">
        <f t="shared" si="2"/>
        <v>45506.840324074074</v>
      </c>
      <c r="B171" s="266"/>
      <c r="C171" s="267" t="e">
        <f>HLOOKUP(A171,'Courbe In'!$AA$2:$CD$3,2)</f>
        <v>#VALUE!</v>
      </c>
      <c r="D171" s="267" t="e">
        <f ca="1">HLOOKUP(A171,'Courbe In'!$AA$2:$CD$7,5)</f>
        <v>#VALUE!</v>
      </c>
      <c r="E171" s="267" t="e">
        <f>HLOOKUP(A171,'Courbe In'!$AA$2:$CD$7,4)</f>
        <v>#VALUE!</v>
      </c>
      <c r="F171" s="267" t="e">
        <f ca="1">HLOOKUP(A171,'Courbe In'!$AA$2:$CD$7,6)</f>
        <v>#VALUE!</v>
      </c>
      <c r="G171" s="267" t="e">
        <f>HLOOKUP(A171,'Courbe In'!$AA$2:$CD$8,7)</f>
        <v>#VALUE!</v>
      </c>
      <c r="H171" s="267" t="e">
        <f>HLOOKUP(A171,'Courbe In'!$AA$2:$CD$9,8)</f>
        <v>#VALUE!</v>
      </c>
      <c r="I171" s="266"/>
      <c r="J171" s="327"/>
      <c r="K171" s="268"/>
      <c r="L171" s="267"/>
    </row>
    <row r="172" spans="1:12">
      <c r="A172" s="268">
        <f t="shared" si="2"/>
        <v>45507.840324074074</v>
      </c>
      <c r="B172" s="266"/>
      <c r="C172" s="267" t="e">
        <f>HLOOKUP(A172,'Courbe In'!$AA$2:$CD$3,2)</f>
        <v>#VALUE!</v>
      </c>
      <c r="D172" s="267" t="e">
        <f ca="1">HLOOKUP(A172,'Courbe In'!$AA$2:$CD$7,5)</f>
        <v>#VALUE!</v>
      </c>
      <c r="E172" s="267" t="e">
        <f>HLOOKUP(A172,'Courbe In'!$AA$2:$CD$7,4)</f>
        <v>#VALUE!</v>
      </c>
      <c r="F172" s="267" t="e">
        <f ca="1">HLOOKUP(A172,'Courbe In'!$AA$2:$CD$7,6)</f>
        <v>#VALUE!</v>
      </c>
      <c r="G172" s="267" t="e">
        <f>HLOOKUP(A172,'Courbe In'!$AA$2:$CD$8,7)</f>
        <v>#VALUE!</v>
      </c>
      <c r="H172" s="267" t="e">
        <f>HLOOKUP(A172,'Courbe In'!$AA$2:$CD$9,8)</f>
        <v>#VALUE!</v>
      </c>
      <c r="I172" s="266"/>
      <c r="J172" s="327"/>
      <c r="K172" s="268"/>
      <c r="L172" s="267"/>
    </row>
    <row r="173" spans="1:12">
      <c r="A173" s="268">
        <f t="shared" si="2"/>
        <v>45508.840324074074</v>
      </c>
      <c r="B173" s="266"/>
      <c r="C173" s="267" t="e">
        <f>HLOOKUP(A173,'Courbe In'!$AA$2:$CD$3,2)</f>
        <v>#VALUE!</v>
      </c>
      <c r="D173" s="267" t="e">
        <f ca="1">HLOOKUP(A173,'Courbe In'!$AA$2:$CD$7,5)</f>
        <v>#VALUE!</v>
      </c>
      <c r="E173" s="267" t="e">
        <f>HLOOKUP(A173,'Courbe In'!$AA$2:$CD$7,4)</f>
        <v>#VALUE!</v>
      </c>
      <c r="F173" s="267" t="e">
        <f ca="1">HLOOKUP(A173,'Courbe In'!$AA$2:$CD$7,6)</f>
        <v>#VALUE!</v>
      </c>
      <c r="G173" s="267" t="e">
        <f>HLOOKUP(A173,'Courbe In'!$AA$2:$CD$8,7)</f>
        <v>#VALUE!</v>
      </c>
      <c r="H173" s="267" t="e">
        <f>HLOOKUP(A173,'Courbe In'!$AA$2:$CD$9,8)</f>
        <v>#VALUE!</v>
      </c>
      <c r="I173" s="266"/>
      <c r="J173" s="327"/>
      <c r="K173" s="268"/>
      <c r="L173" s="267"/>
    </row>
    <row r="174" spans="1:12">
      <c r="A174" s="268">
        <f t="shared" si="2"/>
        <v>45509.840324074074</v>
      </c>
      <c r="B174" s="266"/>
      <c r="C174" s="267" t="e">
        <f>HLOOKUP(A174,'Courbe In'!$AA$2:$CD$3,2)</f>
        <v>#VALUE!</v>
      </c>
      <c r="D174" s="267" t="e">
        <f ca="1">HLOOKUP(A174,'Courbe In'!$AA$2:$CD$7,5)</f>
        <v>#VALUE!</v>
      </c>
      <c r="E174" s="267" t="e">
        <f>HLOOKUP(A174,'Courbe In'!$AA$2:$CD$7,4)</f>
        <v>#VALUE!</v>
      </c>
      <c r="F174" s="267" t="e">
        <f ca="1">HLOOKUP(A174,'Courbe In'!$AA$2:$CD$7,6)</f>
        <v>#VALUE!</v>
      </c>
      <c r="G174" s="267" t="e">
        <f>HLOOKUP(A174,'Courbe In'!$AA$2:$CD$8,7)</f>
        <v>#VALUE!</v>
      </c>
      <c r="H174" s="267" t="e">
        <f>HLOOKUP(A174,'Courbe In'!$AA$2:$CD$9,8)</f>
        <v>#VALUE!</v>
      </c>
      <c r="I174" s="266"/>
      <c r="J174" s="327"/>
      <c r="K174" s="268"/>
      <c r="L174" s="267"/>
    </row>
    <row r="175" spans="1:12">
      <c r="A175" s="268">
        <f t="shared" si="2"/>
        <v>45510.840324074074</v>
      </c>
      <c r="B175" s="266"/>
      <c r="C175" s="267" t="e">
        <f>HLOOKUP(A175,'Courbe In'!$AA$2:$CD$3,2)</f>
        <v>#VALUE!</v>
      </c>
      <c r="D175" s="267" t="e">
        <f ca="1">HLOOKUP(A175,'Courbe In'!$AA$2:$CD$7,5)</f>
        <v>#VALUE!</v>
      </c>
      <c r="E175" s="267" t="e">
        <f>HLOOKUP(A175,'Courbe In'!$AA$2:$CD$7,4)</f>
        <v>#VALUE!</v>
      </c>
      <c r="F175" s="267" t="e">
        <f ca="1">HLOOKUP(A175,'Courbe In'!$AA$2:$CD$7,6)</f>
        <v>#VALUE!</v>
      </c>
      <c r="G175" s="267" t="e">
        <f>HLOOKUP(A175,'Courbe In'!$AA$2:$CD$8,7)</f>
        <v>#VALUE!</v>
      </c>
      <c r="H175" s="267" t="e">
        <f>HLOOKUP(A175,'Courbe In'!$AA$2:$CD$9,8)</f>
        <v>#VALUE!</v>
      </c>
      <c r="I175" s="266"/>
      <c r="J175" s="327"/>
      <c r="K175" s="268"/>
      <c r="L175" s="267"/>
    </row>
    <row r="176" spans="1:12">
      <c r="A176" s="268">
        <f t="shared" si="2"/>
        <v>45511.840324074074</v>
      </c>
      <c r="B176" s="266"/>
      <c r="C176" s="267" t="e">
        <f>HLOOKUP(A176,'Courbe In'!$AA$2:$CD$3,2)</f>
        <v>#VALUE!</v>
      </c>
      <c r="D176" s="267" t="e">
        <f ca="1">HLOOKUP(A176,'Courbe In'!$AA$2:$CD$7,5)</f>
        <v>#VALUE!</v>
      </c>
      <c r="E176" s="267" t="e">
        <f>HLOOKUP(A176,'Courbe In'!$AA$2:$CD$7,4)</f>
        <v>#VALUE!</v>
      </c>
      <c r="F176" s="267" t="e">
        <f ca="1">HLOOKUP(A176,'Courbe In'!$AA$2:$CD$7,6)</f>
        <v>#VALUE!</v>
      </c>
      <c r="G176" s="267" t="e">
        <f>HLOOKUP(A176,'Courbe In'!$AA$2:$CD$8,7)</f>
        <v>#VALUE!</v>
      </c>
      <c r="H176" s="267" t="e">
        <f>HLOOKUP(A176,'Courbe In'!$AA$2:$CD$9,8)</f>
        <v>#VALUE!</v>
      </c>
      <c r="I176" s="266"/>
      <c r="J176" s="327"/>
      <c r="K176" s="268"/>
      <c r="L176" s="267"/>
    </row>
    <row r="177" spans="1:12">
      <c r="A177" s="268">
        <f t="shared" si="2"/>
        <v>45512.840324074074</v>
      </c>
      <c r="B177" s="266"/>
      <c r="C177" s="267" t="e">
        <f>HLOOKUP(A177,'Courbe In'!$AA$2:$CD$3,2)</f>
        <v>#VALUE!</v>
      </c>
      <c r="D177" s="267" t="e">
        <f ca="1">HLOOKUP(A177,'Courbe In'!$AA$2:$CD$7,5)</f>
        <v>#VALUE!</v>
      </c>
      <c r="E177" s="267" t="e">
        <f>HLOOKUP(A177,'Courbe In'!$AA$2:$CD$7,4)</f>
        <v>#VALUE!</v>
      </c>
      <c r="F177" s="267" t="e">
        <f ca="1">HLOOKUP(A177,'Courbe In'!$AA$2:$CD$7,6)</f>
        <v>#VALUE!</v>
      </c>
      <c r="G177" s="267" t="e">
        <f>HLOOKUP(A177,'Courbe In'!$AA$2:$CD$8,7)</f>
        <v>#VALUE!</v>
      </c>
      <c r="H177" s="267" t="e">
        <f>HLOOKUP(A177,'Courbe In'!$AA$2:$CD$9,8)</f>
        <v>#VALUE!</v>
      </c>
      <c r="I177" s="266"/>
      <c r="J177" s="327"/>
      <c r="K177" s="268"/>
      <c r="L177" s="267"/>
    </row>
    <row r="178" spans="1:12">
      <c r="A178" s="268">
        <f t="shared" si="2"/>
        <v>45513.840324074074</v>
      </c>
      <c r="B178" s="266"/>
      <c r="C178" s="267" t="e">
        <f>HLOOKUP(A178,'Courbe In'!$AA$2:$CD$3,2)</f>
        <v>#VALUE!</v>
      </c>
      <c r="D178" s="267" t="e">
        <f ca="1">HLOOKUP(A178,'Courbe In'!$AA$2:$CD$7,5)</f>
        <v>#VALUE!</v>
      </c>
      <c r="E178" s="267" t="e">
        <f>HLOOKUP(A178,'Courbe In'!$AA$2:$CD$7,4)</f>
        <v>#VALUE!</v>
      </c>
      <c r="F178" s="267" t="e">
        <f ca="1">HLOOKUP(A178,'Courbe In'!$AA$2:$CD$7,6)</f>
        <v>#VALUE!</v>
      </c>
      <c r="G178" s="267" t="e">
        <f>HLOOKUP(A178,'Courbe In'!$AA$2:$CD$8,7)</f>
        <v>#VALUE!</v>
      </c>
      <c r="H178" s="267" t="e">
        <f>HLOOKUP(A178,'Courbe In'!$AA$2:$CD$9,8)</f>
        <v>#VALUE!</v>
      </c>
      <c r="I178" s="266"/>
      <c r="J178" s="327"/>
      <c r="K178" s="268"/>
      <c r="L178" s="267"/>
    </row>
    <row r="179" spans="1:12">
      <c r="A179" s="268">
        <f t="shared" si="2"/>
        <v>45514.840324074074</v>
      </c>
      <c r="B179" s="266"/>
      <c r="C179" s="267" t="e">
        <f>HLOOKUP(A179,'Courbe In'!$AA$2:$CD$3,2)</f>
        <v>#VALUE!</v>
      </c>
      <c r="D179" s="267" t="e">
        <f ca="1">HLOOKUP(A179,'Courbe In'!$AA$2:$CD$7,5)</f>
        <v>#VALUE!</v>
      </c>
      <c r="E179" s="267" t="e">
        <f>HLOOKUP(A179,'Courbe In'!$AA$2:$CD$7,4)</f>
        <v>#VALUE!</v>
      </c>
      <c r="F179" s="267" t="e">
        <f ca="1">HLOOKUP(A179,'Courbe In'!$AA$2:$CD$7,6)</f>
        <v>#VALUE!</v>
      </c>
      <c r="G179" s="267" t="e">
        <f>HLOOKUP(A179,'Courbe In'!$AA$2:$CD$8,7)</f>
        <v>#VALUE!</v>
      </c>
      <c r="H179" s="267" t="e">
        <f>HLOOKUP(A179,'Courbe In'!$AA$2:$CD$9,8)</f>
        <v>#VALUE!</v>
      </c>
      <c r="I179" s="266"/>
      <c r="J179" s="327"/>
      <c r="K179" s="268"/>
      <c r="L179" s="267"/>
    </row>
    <row r="180" spans="1:12">
      <c r="A180" s="268">
        <f t="shared" si="2"/>
        <v>45515.840324074074</v>
      </c>
      <c r="B180" s="266"/>
      <c r="C180" s="267" t="e">
        <f>HLOOKUP(A180,'Courbe In'!$AA$2:$CD$3,2)</f>
        <v>#VALUE!</v>
      </c>
      <c r="D180" s="267" t="e">
        <f ca="1">HLOOKUP(A180,'Courbe In'!$AA$2:$CD$7,5)</f>
        <v>#VALUE!</v>
      </c>
      <c r="E180" s="267" t="e">
        <f>HLOOKUP(A180,'Courbe In'!$AA$2:$CD$7,4)</f>
        <v>#VALUE!</v>
      </c>
      <c r="F180" s="267" t="e">
        <f ca="1">HLOOKUP(A180,'Courbe In'!$AA$2:$CD$7,6)</f>
        <v>#VALUE!</v>
      </c>
      <c r="G180" s="267" t="e">
        <f>HLOOKUP(A180,'Courbe In'!$AA$2:$CD$8,7)</f>
        <v>#VALUE!</v>
      </c>
      <c r="H180" s="267" t="e">
        <f>HLOOKUP(A180,'Courbe In'!$AA$2:$CD$9,8)</f>
        <v>#VALUE!</v>
      </c>
      <c r="I180" s="266"/>
      <c r="J180" s="327"/>
      <c r="K180" s="268"/>
      <c r="L180" s="267"/>
    </row>
    <row r="181" spans="1:12">
      <c r="A181" s="268">
        <f t="shared" si="2"/>
        <v>45516.840324074074</v>
      </c>
      <c r="B181" s="266"/>
      <c r="C181" s="267" t="e">
        <f>HLOOKUP(A181,'Courbe In'!$AA$2:$CD$3,2)</f>
        <v>#VALUE!</v>
      </c>
      <c r="D181" s="267" t="e">
        <f ca="1">HLOOKUP(A181,'Courbe In'!$AA$2:$CD$7,5)</f>
        <v>#VALUE!</v>
      </c>
      <c r="E181" s="267" t="e">
        <f>HLOOKUP(A181,'Courbe In'!$AA$2:$CD$7,4)</f>
        <v>#VALUE!</v>
      </c>
      <c r="F181" s="267" t="e">
        <f ca="1">HLOOKUP(A181,'Courbe In'!$AA$2:$CD$7,6)</f>
        <v>#VALUE!</v>
      </c>
      <c r="G181" s="267" t="e">
        <f>HLOOKUP(A181,'Courbe In'!$AA$2:$CD$8,7)</f>
        <v>#VALUE!</v>
      </c>
      <c r="H181" s="267" t="e">
        <f>HLOOKUP(A181,'Courbe In'!$AA$2:$CD$9,8)</f>
        <v>#VALUE!</v>
      </c>
      <c r="I181" s="266"/>
      <c r="J181" s="327"/>
      <c r="K181" s="268"/>
      <c r="L181" s="267"/>
    </row>
    <row r="182" spans="1:12">
      <c r="A182" s="268">
        <f t="shared" si="2"/>
        <v>45517.840324074074</v>
      </c>
      <c r="B182" s="266"/>
      <c r="C182" s="267" t="e">
        <f>HLOOKUP(A182,'Courbe In'!$AA$2:$CD$3,2)</f>
        <v>#VALUE!</v>
      </c>
      <c r="D182" s="267" t="e">
        <f ca="1">HLOOKUP(A182,'Courbe In'!$AA$2:$CD$7,5)</f>
        <v>#VALUE!</v>
      </c>
      <c r="E182" s="267" t="e">
        <f>HLOOKUP(A182,'Courbe In'!$AA$2:$CD$7,4)</f>
        <v>#VALUE!</v>
      </c>
      <c r="F182" s="267" t="e">
        <f ca="1">HLOOKUP(A182,'Courbe In'!$AA$2:$CD$7,6)</f>
        <v>#VALUE!</v>
      </c>
      <c r="G182" s="267" t="e">
        <f>HLOOKUP(A182,'Courbe In'!$AA$2:$CD$8,7)</f>
        <v>#VALUE!</v>
      </c>
      <c r="H182" s="267" t="e">
        <f>HLOOKUP(A182,'Courbe In'!$AA$2:$CD$9,8)</f>
        <v>#VALUE!</v>
      </c>
      <c r="I182" s="266"/>
      <c r="J182" s="327"/>
      <c r="K182" s="268"/>
      <c r="L182" s="267"/>
    </row>
    <row r="183" spans="1:12">
      <c r="A183" s="268">
        <f t="shared" si="2"/>
        <v>45518.840324074074</v>
      </c>
      <c r="B183" s="266"/>
      <c r="C183" s="267" t="e">
        <f>HLOOKUP(A183,'Courbe In'!$AA$2:$CD$3,2)</f>
        <v>#VALUE!</v>
      </c>
      <c r="D183" s="267" t="e">
        <f ca="1">HLOOKUP(A183,'Courbe In'!$AA$2:$CD$7,5)</f>
        <v>#VALUE!</v>
      </c>
      <c r="E183" s="267" t="e">
        <f>HLOOKUP(A183,'Courbe In'!$AA$2:$CD$7,4)</f>
        <v>#VALUE!</v>
      </c>
      <c r="F183" s="267" t="e">
        <f ca="1">HLOOKUP(A183,'Courbe In'!$AA$2:$CD$7,6)</f>
        <v>#VALUE!</v>
      </c>
      <c r="G183" s="267" t="e">
        <f>HLOOKUP(A183,'Courbe In'!$AA$2:$CD$8,7)</f>
        <v>#VALUE!</v>
      </c>
      <c r="H183" s="267" t="e">
        <f>HLOOKUP(A183,'Courbe In'!$AA$2:$CD$9,8)</f>
        <v>#VALUE!</v>
      </c>
      <c r="I183" s="266"/>
      <c r="J183" s="327"/>
      <c r="K183" s="268"/>
      <c r="L183" s="267"/>
    </row>
    <row r="184" spans="1:12">
      <c r="A184" s="268">
        <f t="shared" si="2"/>
        <v>45519.840324074074</v>
      </c>
      <c r="B184" s="266"/>
      <c r="C184" s="267" t="e">
        <f>HLOOKUP(A184,'Courbe In'!$AA$2:$CD$3,2)</f>
        <v>#VALUE!</v>
      </c>
      <c r="D184" s="267" t="e">
        <f ca="1">HLOOKUP(A184,'Courbe In'!$AA$2:$CD$7,5)</f>
        <v>#VALUE!</v>
      </c>
      <c r="E184" s="267" t="e">
        <f>HLOOKUP(A184,'Courbe In'!$AA$2:$CD$7,4)</f>
        <v>#VALUE!</v>
      </c>
      <c r="F184" s="267" t="e">
        <f ca="1">HLOOKUP(A184,'Courbe In'!$AA$2:$CD$7,6)</f>
        <v>#VALUE!</v>
      </c>
      <c r="G184" s="267" t="e">
        <f>HLOOKUP(A184,'Courbe In'!$AA$2:$CD$8,7)</f>
        <v>#VALUE!</v>
      </c>
      <c r="H184" s="267" t="e">
        <f>HLOOKUP(A184,'Courbe In'!$AA$2:$CD$9,8)</f>
        <v>#VALUE!</v>
      </c>
      <c r="I184" s="266"/>
      <c r="J184" s="327"/>
      <c r="K184" s="268"/>
      <c r="L184" s="267"/>
    </row>
    <row r="185" spans="1:12">
      <c r="A185" s="268">
        <f t="shared" si="2"/>
        <v>45520.840324074074</v>
      </c>
      <c r="B185" s="266"/>
      <c r="C185" s="267" t="e">
        <f>HLOOKUP(A185,'Courbe In'!$AA$2:$CD$3,2)</f>
        <v>#VALUE!</v>
      </c>
      <c r="D185" s="267" t="e">
        <f ca="1">HLOOKUP(A185,'Courbe In'!$AA$2:$CD$7,5)</f>
        <v>#VALUE!</v>
      </c>
      <c r="E185" s="267" t="e">
        <f>HLOOKUP(A185,'Courbe In'!$AA$2:$CD$7,4)</f>
        <v>#VALUE!</v>
      </c>
      <c r="F185" s="267" t="e">
        <f ca="1">HLOOKUP(A185,'Courbe In'!$AA$2:$CD$7,6)</f>
        <v>#VALUE!</v>
      </c>
      <c r="G185" s="267" t="e">
        <f>HLOOKUP(A185,'Courbe In'!$AA$2:$CD$8,7)</f>
        <v>#VALUE!</v>
      </c>
      <c r="H185" s="267" t="e">
        <f>HLOOKUP(A185,'Courbe In'!$AA$2:$CD$9,8)</f>
        <v>#VALUE!</v>
      </c>
      <c r="I185" s="266"/>
      <c r="J185" s="327"/>
      <c r="K185" s="268"/>
      <c r="L185" s="267"/>
    </row>
    <row r="186" spans="1:12">
      <c r="A186" s="268">
        <f t="shared" si="2"/>
        <v>45521.840324074074</v>
      </c>
      <c r="B186" s="266"/>
      <c r="C186" s="267" t="e">
        <f>HLOOKUP(A186,'Courbe In'!$AA$2:$CD$3,2)</f>
        <v>#VALUE!</v>
      </c>
      <c r="D186" s="267" t="e">
        <f ca="1">HLOOKUP(A186,'Courbe In'!$AA$2:$CD$7,5)</f>
        <v>#VALUE!</v>
      </c>
      <c r="E186" s="267" t="e">
        <f>HLOOKUP(A186,'Courbe In'!$AA$2:$CD$7,4)</f>
        <v>#VALUE!</v>
      </c>
      <c r="F186" s="267" t="e">
        <f ca="1">HLOOKUP(A186,'Courbe In'!$AA$2:$CD$7,6)</f>
        <v>#VALUE!</v>
      </c>
      <c r="G186" s="267" t="e">
        <f>HLOOKUP(A186,'Courbe In'!$AA$2:$CD$8,7)</f>
        <v>#VALUE!</v>
      </c>
      <c r="H186" s="267" t="e">
        <f>HLOOKUP(A186,'Courbe In'!$AA$2:$CD$9,8)</f>
        <v>#VALUE!</v>
      </c>
      <c r="I186" s="266"/>
      <c r="J186" s="327"/>
      <c r="K186" s="268"/>
      <c r="L186" s="267"/>
    </row>
    <row r="187" spans="1:12">
      <c r="A187" s="268">
        <f t="shared" si="2"/>
        <v>45522.840324074074</v>
      </c>
      <c r="B187" s="266"/>
      <c r="C187" s="267" t="e">
        <f>HLOOKUP(A187,'Courbe In'!$AA$2:$CD$3,2)</f>
        <v>#VALUE!</v>
      </c>
      <c r="D187" s="267" t="e">
        <f ca="1">HLOOKUP(A187,'Courbe In'!$AA$2:$CD$7,5)</f>
        <v>#VALUE!</v>
      </c>
      <c r="E187" s="267" t="e">
        <f>HLOOKUP(A187,'Courbe In'!$AA$2:$CD$7,4)</f>
        <v>#VALUE!</v>
      </c>
      <c r="F187" s="267" t="e">
        <f ca="1">HLOOKUP(A187,'Courbe In'!$AA$2:$CD$7,6)</f>
        <v>#VALUE!</v>
      </c>
      <c r="G187" s="267" t="e">
        <f>HLOOKUP(A187,'Courbe In'!$AA$2:$CD$8,7)</f>
        <v>#VALUE!</v>
      </c>
      <c r="H187" s="267" t="e">
        <f>HLOOKUP(A187,'Courbe In'!$AA$2:$CD$9,8)</f>
        <v>#VALUE!</v>
      </c>
      <c r="I187" s="266"/>
      <c r="J187" s="327"/>
      <c r="K187" s="268"/>
      <c r="L187" s="267"/>
    </row>
    <row r="188" spans="1:12">
      <c r="A188" s="268">
        <f t="shared" si="2"/>
        <v>45523.840324074074</v>
      </c>
      <c r="B188" s="266"/>
      <c r="C188" s="267" t="e">
        <f>HLOOKUP(A188,'Courbe In'!$AA$2:$CD$3,2)</f>
        <v>#VALUE!</v>
      </c>
      <c r="D188" s="267" t="e">
        <f ca="1">HLOOKUP(A188,'Courbe In'!$AA$2:$CD$7,5)</f>
        <v>#VALUE!</v>
      </c>
      <c r="E188" s="267" t="e">
        <f>HLOOKUP(A188,'Courbe In'!$AA$2:$CD$7,4)</f>
        <v>#VALUE!</v>
      </c>
      <c r="F188" s="267" t="e">
        <f ca="1">HLOOKUP(A188,'Courbe In'!$AA$2:$CD$7,6)</f>
        <v>#VALUE!</v>
      </c>
      <c r="G188" s="267" t="e">
        <f>HLOOKUP(A188,'Courbe In'!$AA$2:$CD$8,7)</f>
        <v>#VALUE!</v>
      </c>
      <c r="H188" s="267" t="e">
        <f>HLOOKUP(A188,'Courbe In'!$AA$2:$CD$9,8)</f>
        <v>#VALUE!</v>
      </c>
      <c r="I188" s="266"/>
      <c r="J188" s="327"/>
      <c r="K188" s="268"/>
      <c r="L188" s="267"/>
    </row>
    <row r="189" spans="1:12">
      <c r="A189" s="268">
        <f t="shared" si="2"/>
        <v>45524.840324074074</v>
      </c>
      <c r="B189" s="266"/>
      <c r="C189" s="267" t="e">
        <f>HLOOKUP(A189,'Courbe In'!$AA$2:$CD$3,2)</f>
        <v>#VALUE!</v>
      </c>
      <c r="D189" s="267" t="e">
        <f ca="1">HLOOKUP(A189,'Courbe In'!$AA$2:$CD$7,5)</f>
        <v>#VALUE!</v>
      </c>
      <c r="E189" s="267" t="e">
        <f>HLOOKUP(A189,'Courbe In'!$AA$2:$CD$7,4)</f>
        <v>#VALUE!</v>
      </c>
      <c r="F189" s="267" t="e">
        <f ca="1">HLOOKUP(A189,'Courbe In'!$AA$2:$CD$7,6)</f>
        <v>#VALUE!</v>
      </c>
      <c r="G189" s="267" t="e">
        <f>HLOOKUP(A189,'Courbe In'!$AA$2:$CD$8,7)</f>
        <v>#VALUE!</v>
      </c>
      <c r="H189" s="267" t="e">
        <f>HLOOKUP(A189,'Courbe In'!$AA$2:$CD$9,8)</f>
        <v>#VALUE!</v>
      </c>
      <c r="I189" s="266"/>
      <c r="J189" s="327"/>
      <c r="K189" s="268"/>
      <c r="L189" s="267"/>
    </row>
    <row r="190" spans="1:12">
      <c r="A190" s="268">
        <f t="shared" si="2"/>
        <v>45525.840324074074</v>
      </c>
      <c r="B190" s="266"/>
      <c r="C190" s="267" t="e">
        <f>HLOOKUP(A190,'Courbe In'!$AA$2:$CD$3,2)</f>
        <v>#VALUE!</v>
      </c>
      <c r="D190" s="267" t="e">
        <f ca="1">HLOOKUP(A190,'Courbe In'!$AA$2:$CD$7,5)</f>
        <v>#VALUE!</v>
      </c>
      <c r="E190" s="267" t="e">
        <f>HLOOKUP(A190,'Courbe In'!$AA$2:$CD$7,4)</f>
        <v>#VALUE!</v>
      </c>
      <c r="F190" s="267" t="e">
        <f ca="1">HLOOKUP(A190,'Courbe In'!$AA$2:$CD$7,6)</f>
        <v>#VALUE!</v>
      </c>
      <c r="G190" s="267" t="e">
        <f>HLOOKUP(A190,'Courbe In'!$AA$2:$CD$8,7)</f>
        <v>#VALUE!</v>
      </c>
      <c r="H190" s="267" t="e">
        <f>HLOOKUP(A190,'Courbe In'!$AA$2:$CD$9,8)</f>
        <v>#VALUE!</v>
      </c>
      <c r="I190" s="266"/>
      <c r="J190" s="327"/>
      <c r="K190" s="268"/>
      <c r="L190" s="267"/>
    </row>
    <row r="191" spans="1:12">
      <c r="A191" s="268">
        <f t="shared" si="2"/>
        <v>45526.840324074074</v>
      </c>
      <c r="B191" s="266"/>
      <c r="C191" s="267" t="e">
        <f>HLOOKUP(A191,'Courbe In'!$AA$2:$CD$3,2)</f>
        <v>#VALUE!</v>
      </c>
      <c r="D191" s="267" t="e">
        <f ca="1">HLOOKUP(A191,'Courbe In'!$AA$2:$CD$7,5)</f>
        <v>#VALUE!</v>
      </c>
      <c r="E191" s="267" t="e">
        <f>HLOOKUP(A191,'Courbe In'!$AA$2:$CD$7,4)</f>
        <v>#VALUE!</v>
      </c>
      <c r="F191" s="267" t="e">
        <f ca="1">HLOOKUP(A191,'Courbe In'!$AA$2:$CD$7,6)</f>
        <v>#VALUE!</v>
      </c>
      <c r="G191" s="267" t="e">
        <f>HLOOKUP(A191,'Courbe In'!$AA$2:$CD$8,7)</f>
        <v>#VALUE!</v>
      </c>
      <c r="H191" s="267" t="e">
        <f>HLOOKUP(A191,'Courbe In'!$AA$2:$CD$9,8)</f>
        <v>#VALUE!</v>
      </c>
      <c r="I191" s="266"/>
      <c r="J191" s="327"/>
      <c r="K191" s="268"/>
      <c r="L191" s="267"/>
    </row>
    <row r="192" spans="1:12">
      <c r="A192" s="268">
        <f t="shared" si="2"/>
        <v>45527.840324074074</v>
      </c>
      <c r="B192" s="266"/>
      <c r="C192" s="267" t="e">
        <f>HLOOKUP(A192,'Courbe In'!$AA$2:$CD$3,2)</f>
        <v>#VALUE!</v>
      </c>
      <c r="D192" s="267" t="e">
        <f ca="1">HLOOKUP(A192,'Courbe In'!$AA$2:$CD$7,5)</f>
        <v>#VALUE!</v>
      </c>
      <c r="E192" s="267" t="e">
        <f>HLOOKUP(A192,'Courbe In'!$AA$2:$CD$7,4)</f>
        <v>#VALUE!</v>
      </c>
      <c r="F192" s="267" t="e">
        <f ca="1">HLOOKUP(A192,'Courbe In'!$AA$2:$CD$7,6)</f>
        <v>#VALUE!</v>
      </c>
      <c r="G192" s="267" t="e">
        <f>HLOOKUP(A192,'Courbe In'!$AA$2:$CD$8,7)</f>
        <v>#VALUE!</v>
      </c>
      <c r="H192" s="267" t="e">
        <f>HLOOKUP(A192,'Courbe In'!$AA$2:$CD$9,8)</f>
        <v>#VALUE!</v>
      </c>
      <c r="I192" s="266"/>
      <c r="J192" s="327"/>
      <c r="K192" s="268"/>
      <c r="L192" s="267"/>
    </row>
    <row r="193" spans="1:12">
      <c r="A193" s="268">
        <f t="shared" si="2"/>
        <v>45528.840324074074</v>
      </c>
      <c r="B193" s="266"/>
      <c r="C193" s="267" t="e">
        <f>HLOOKUP(A193,'Courbe In'!$AA$2:$CD$3,2)</f>
        <v>#VALUE!</v>
      </c>
      <c r="D193" s="267" t="e">
        <f ca="1">HLOOKUP(A193,'Courbe In'!$AA$2:$CD$7,5)</f>
        <v>#VALUE!</v>
      </c>
      <c r="E193" s="267" t="e">
        <f>HLOOKUP(A193,'Courbe In'!$AA$2:$CD$7,4)</f>
        <v>#VALUE!</v>
      </c>
      <c r="F193" s="267" t="e">
        <f ca="1">HLOOKUP(A193,'Courbe In'!$AA$2:$CD$7,6)</f>
        <v>#VALUE!</v>
      </c>
      <c r="G193" s="267" t="e">
        <f>HLOOKUP(A193,'Courbe In'!$AA$2:$CD$8,7)</f>
        <v>#VALUE!</v>
      </c>
      <c r="H193" s="267" t="e">
        <f>HLOOKUP(A193,'Courbe In'!$AA$2:$CD$9,8)</f>
        <v>#VALUE!</v>
      </c>
      <c r="I193" s="266"/>
      <c r="J193" s="327"/>
      <c r="K193" s="268"/>
      <c r="L193" s="267"/>
    </row>
    <row r="194" spans="1:12">
      <c r="A194" s="268">
        <f t="shared" si="2"/>
        <v>45529.840324074074</v>
      </c>
      <c r="B194" s="266"/>
      <c r="C194" s="267" t="e">
        <f>HLOOKUP(A194,'Courbe In'!$AA$2:$CD$3,2)</f>
        <v>#VALUE!</v>
      </c>
      <c r="D194" s="267" t="e">
        <f ca="1">HLOOKUP(A194,'Courbe In'!$AA$2:$CD$7,5)</f>
        <v>#VALUE!</v>
      </c>
      <c r="E194" s="267" t="e">
        <f>HLOOKUP(A194,'Courbe In'!$AA$2:$CD$7,4)</f>
        <v>#VALUE!</v>
      </c>
      <c r="F194" s="267" t="e">
        <f ca="1">HLOOKUP(A194,'Courbe In'!$AA$2:$CD$7,6)</f>
        <v>#VALUE!</v>
      </c>
      <c r="G194" s="267" t="e">
        <f>HLOOKUP(A194,'Courbe In'!$AA$2:$CD$8,7)</f>
        <v>#VALUE!</v>
      </c>
      <c r="H194" s="267" t="e">
        <f>HLOOKUP(A194,'Courbe In'!$AA$2:$CD$9,8)</f>
        <v>#VALUE!</v>
      </c>
      <c r="I194" s="266"/>
      <c r="J194" s="327"/>
      <c r="K194" s="268"/>
      <c r="L194" s="267"/>
    </row>
    <row r="195" spans="1:12">
      <c r="A195" s="268">
        <f t="shared" si="2"/>
        <v>45530.840324074074</v>
      </c>
      <c r="B195" s="266"/>
      <c r="C195" s="267" t="e">
        <f>HLOOKUP(A195,'Courbe In'!$AA$2:$CD$3,2)</f>
        <v>#VALUE!</v>
      </c>
      <c r="D195" s="267" t="e">
        <f ca="1">HLOOKUP(A195,'Courbe In'!$AA$2:$CD$7,5)</f>
        <v>#VALUE!</v>
      </c>
      <c r="E195" s="267" t="e">
        <f>HLOOKUP(A195,'Courbe In'!$AA$2:$CD$7,4)</f>
        <v>#VALUE!</v>
      </c>
      <c r="F195" s="267" t="e">
        <f ca="1">HLOOKUP(A195,'Courbe In'!$AA$2:$CD$7,6)</f>
        <v>#VALUE!</v>
      </c>
      <c r="G195" s="267" t="e">
        <f>HLOOKUP(A195,'Courbe In'!$AA$2:$CD$8,7)</f>
        <v>#VALUE!</v>
      </c>
      <c r="H195" s="267" t="e">
        <f>HLOOKUP(A195,'Courbe In'!$AA$2:$CD$9,8)</f>
        <v>#VALUE!</v>
      </c>
      <c r="I195" s="266"/>
      <c r="J195" s="327"/>
      <c r="K195" s="268"/>
      <c r="L195" s="267"/>
    </row>
    <row r="196" spans="1:12">
      <c r="A196" s="268">
        <f t="shared" ref="A196:A259" si="3">A195+1</f>
        <v>45531.840324074074</v>
      </c>
      <c r="B196" s="266"/>
      <c r="C196" s="267" t="e">
        <f>HLOOKUP(A196,'Courbe In'!$AA$2:$CD$3,2)</f>
        <v>#VALUE!</v>
      </c>
      <c r="D196" s="267" t="e">
        <f ca="1">HLOOKUP(A196,'Courbe In'!$AA$2:$CD$7,5)</f>
        <v>#VALUE!</v>
      </c>
      <c r="E196" s="267" t="e">
        <f>HLOOKUP(A196,'Courbe In'!$AA$2:$CD$7,4)</f>
        <v>#VALUE!</v>
      </c>
      <c r="F196" s="267" t="e">
        <f ca="1">HLOOKUP(A196,'Courbe In'!$AA$2:$CD$7,6)</f>
        <v>#VALUE!</v>
      </c>
      <c r="G196" s="267" t="e">
        <f>HLOOKUP(A196,'Courbe In'!$AA$2:$CD$8,7)</f>
        <v>#VALUE!</v>
      </c>
      <c r="H196" s="267" t="e">
        <f>HLOOKUP(A196,'Courbe In'!$AA$2:$CD$9,8)</f>
        <v>#VALUE!</v>
      </c>
      <c r="I196" s="266"/>
      <c r="J196" s="327"/>
      <c r="K196" s="268"/>
      <c r="L196" s="267"/>
    </row>
    <row r="197" spans="1:12">
      <c r="A197" s="268">
        <f t="shared" si="3"/>
        <v>45532.840324074074</v>
      </c>
      <c r="B197" s="266"/>
      <c r="C197" s="267" t="e">
        <f>HLOOKUP(A197,'Courbe In'!$AA$2:$CD$3,2)</f>
        <v>#VALUE!</v>
      </c>
      <c r="D197" s="267" t="e">
        <f ca="1">HLOOKUP(A197,'Courbe In'!$AA$2:$CD$7,5)</f>
        <v>#VALUE!</v>
      </c>
      <c r="E197" s="267" t="e">
        <f>HLOOKUP(A197,'Courbe In'!$AA$2:$CD$7,4)</f>
        <v>#VALUE!</v>
      </c>
      <c r="F197" s="267" t="e">
        <f ca="1">HLOOKUP(A197,'Courbe In'!$AA$2:$CD$7,6)</f>
        <v>#VALUE!</v>
      </c>
      <c r="G197" s="267" t="e">
        <f>HLOOKUP(A197,'Courbe In'!$AA$2:$CD$8,7)</f>
        <v>#VALUE!</v>
      </c>
      <c r="H197" s="267" t="e">
        <f>HLOOKUP(A197,'Courbe In'!$AA$2:$CD$9,8)</f>
        <v>#VALUE!</v>
      </c>
      <c r="I197" s="266"/>
      <c r="J197" s="327"/>
      <c r="K197" s="268"/>
      <c r="L197" s="267"/>
    </row>
    <row r="198" spans="1:12">
      <c r="A198" s="268">
        <f t="shared" si="3"/>
        <v>45533.840324074074</v>
      </c>
      <c r="B198" s="266"/>
      <c r="C198" s="267" t="e">
        <f>HLOOKUP(A198,'Courbe In'!$AA$2:$CD$3,2)</f>
        <v>#VALUE!</v>
      </c>
      <c r="D198" s="267" t="e">
        <f ca="1">HLOOKUP(A198,'Courbe In'!$AA$2:$CD$7,5)</f>
        <v>#VALUE!</v>
      </c>
      <c r="E198" s="267" t="e">
        <f>HLOOKUP(A198,'Courbe In'!$AA$2:$CD$7,4)</f>
        <v>#VALUE!</v>
      </c>
      <c r="F198" s="267" t="e">
        <f ca="1">HLOOKUP(A198,'Courbe In'!$AA$2:$CD$7,6)</f>
        <v>#VALUE!</v>
      </c>
      <c r="G198" s="267" t="e">
        <f>HLOOKUP(A198,'Courbe In'!$AA$2:$CD$8,7)</f>
        <v>#VALUE!</v>
      </c>
      <c r="H198" s="267" t="e">
        <f>HLOOKUP(A198,'Courbe In'!$AA$2:$CD$9,8)</f>
        <v>#VALUE!</v>
      </c>
      <c r="I198" s="266"/>
      <c r="J198" s="327"/>
      <c r="K198" s="268"/>
      <c r="L198" s="267"/>
    </row>
    <row r="199" spans="1:12">
      <c r="A199" s="268">
        <f t="shared" si="3"/>
        <v>45534.840324074074</v>
      </c>
      <c r="B199" s="266"/>
      <c r="C199" s="267" t="e">
        <f>HLOOKUP(A199,'Courbe In'!$AA$2:$CD$3,2)</f>
        <v>#VALUE!</v>
      </c>
      <c r="D199" s="267" t="e">
        <f ca="1">HLOOKUP(A199,'Courbe In'!$AA$2:$CD$7,5)</f>
        <v>#VALUE!</v>
      </c>
      <c r="E199" s="267" t="e">
        <f>HLOOKUP(A199,'Courbe In'!$AA$2:$CD$7,4)</f>
        <v>#VALUE!</v>
      </c>
      <c r="F199" s="267" t="e">
        <f ca="1">HLOOKUP(A199,'Courbe In'!$AA$2:$CD$7,6)</f>
        <v>#VALUE!</v>
      </c>
      <c r="G199" s="267" t="e">
        <f>HLOOKUP(A199,'Courbe In'!$AA$2:$CD$8,7)</f>
        <v>#VALUE!</v>
      </c>
      <c r="H199" s="267" t="e">
        <f>HLOOKUP(A199,'Courbe In'!$AA$2:$CD$9,8)</f>
        <v>#VALUE!</v>
      </c>
      <c r="I199" s="266"/>
      <c r="J199" s="327"/>
      <c r="K199" s="268"/>
      <c r="L199" s="267"/>
    </row>
    <row r="200" spans="1:12">
      <c r="A200" s="268">
        <f t="shared" si="3"/>
        <v>45535.840324074074</v>
      </c>
      <c r="B200" s="266"/>
      <c r="C200" s="267" t="e">
        <f>HLOOKUP(A200,'Courbe In'!$AA$2:$CD$3,2)</f>
        <v>#VALUE!</v>
      </c>
      <c r="D200" s="267" t="e">
        <f ca="1">HLOOKUP(A200,'Courbe In'!$AA$2:$CD$7,5)</f>
        <v>#VALUE!</v>
      </c>
      <c r="E200" s="267" t="e">
        <f>HLOOKUP(A200,'Courbe In'!$AA$2:$CD$7,4)</f>
        <v>#VALUE!</v>
      </c>
      <c r="F200" s="267" t="e">
        <f ca="1">HLOOKUP(A200,'Courbe In'!$AA$2:$CD$7,6)</f>
        <v>#VALUE!</v>
      </c>
      <c r="G200" s="267" t="e">
        <f>HLOOKUP(A200,'Courbe In'!$AA$2:$CD$8,7)</f>
        <v>#VALUE!</v>
      </c>
      <c r="H200" s="267" t="e">
        <f>HLOOKUP(A200,'Courbe In'!$AA$2:$CD$9,8)</f>
        <v>#VALUE!</v>
      </c>
      <c r="I200" s="266"/>
      <c r="J200" s="327"/>
      <c r="K200" s="268"/>
      <c r="L200" s="267"/>
    </row>
    <row r="201" spans="1:12">
      <c r="A201" s="268">
        <f t="shared" si="3"/>
        <v>45536.840324074074</v>
      </c>
      <c r="B201" s="266"/>
      <c r="C201" s="267" t="e">
        <f>HLOOKUP(A201,'Courbe In'!$AA$2:$CD$3,2)</f>
        <v>#VALUE!</v>
      </c>
      <c r="D201" s="267" t="e">
        <f ca="1">HLOOKUP(A201,'Courbe In'!$AA$2:$CD$7,5)</f>
        <v>#VALUE!</v>
      </c>
      <c r="E201" s="267" t="e">
        <f>HLOOKUP(A201,'Courbe In'!$AA$2:$CD$7,4)</f>
        <v>#VALUE!</v>
      </c>
      <c r="F201" s="267" t="e">
        <f ca="1">HLOOKUP(A201,'Courbe In'!$AA$2:$CD$7,6)</f>
        <v>#VALUE!</v>
      </c>
      <c r="G201" s="267" t="e">
        <f>HLOOKUP(A201,'Courbe In'!$AA$2:$CD$8,7)</f>
        <v>#VALUE!</v>
      </c>
      <c r="H201" s="267" t="e">
        <f>HLOOKUP(A201,'Courbe In'!$AA$2:$CD$9,8)</f>
        <v>#VALUE!</v>
      </c>
      <c r="I201" s="266"/>
      <c r="J201" s="327"/>
      <c r="K201" s="268"/>
      <c r="L201" s="267"/>
    </row>
    <row r="202" spans="1:12">
      <c r="A202" s="268">
        <f t="shared" si="3"/>
        <v>45537.840324074074</v>
      </c>
      <c r="B202" s="266"/>
      <c r="C202" s="267" t="e">
        <f>HLOOKUP(A202,'Courbe In'!$AA$2:$CD$3,2)</f>
        <v>#VALUE!</v>
      </c>
      <c r="D202" s="267" t="e">
        <f ca="1">HLOOKUP(A202,'Courbe In'!$AA$2:$CD$7,5)</f>
        <v>#VALUE!</v>
      </c>
      <c r="E202" s="267" t="e">
        <f>HLOOKUP(A202,'Courbe In'!$AA$2:$CD$7,4)</f>
        <v>#VALUE!</v>
      </c>
      <c r="F202" s="267" t="e">
        <f ca="1">HLOOKUP(A202,'Courbe In'!$AA$2:$CD$7,6)</f>
        <v>#VALUE!</v>
      </c>
      <c r="G202" s="267" t="e">
        <f>HLOOKUP(A202,'Courbe In'!$AA$2:$CD$8,7)</f>
        <v>#VALUE!</v>
      </c>
      <c r="H202" s="267" t="e">
        <f>HLOOKUP(A202,'Courbe In'!$AA$2:$CD$9,8)</f>
        <v>#VALUE!</v>
      </c>
      <c r="I202" s="266"/>
      <c r="J202" s="327"/>
      <c r="K202" s="268"/>
      <c r="L202" s="267"/>
    </row>
    <row r="203" spans="1:12">
      <c r="A203" s="268">
        <f t="shared" si="3"/>
        <v>45538.840324074074</v>
      </c>
      <c r="B203" s="266"/>
      <c r="C203" s="267" t="e">
        <f>HLOOKUP(A203,'Courbe In'!$AA$2:$CD$3,2)</f>
        <v>#VALUE!</v>
      </c>
      <c r="D203" s="267" t="e">
        <f ca="1">HLOOKUP(A203,'Courbe In'!$AA$2:$CD$7,5)</f>
        <v>#VALUE!</v>
      </c>
      <c r="E203" s="267" t="e">
        <f>HLOOKUP(A203,'Courbe In'!$AA$2:$CD$7,4)</f>
        <v>#VALUE!</v>
      </c>
      <c r="F203" s="267" t="e">
        <f ca="1">HLOOKUP(A203,'Courbe In'!$AA$2:$CD$7,6)</f>
        <v>#VALUE!</v>
      </c>
      <c r="G203" s="267" t="e">
        <f>HLOOKUP(A203,'Courbe In'!$AA$2:$CD$8,7)</f>
        <v>#VALUE!</v>
      </c>
      <c r="H203" s="267" t="e">
        <f>HLOOKUP(A203,'Courbe In'!$AA$2:$CD$9,8)</f>
        <v>#VALUE!</v>
      </c>
      <c r="I203" s="266"/>
      <c r="J203" s="327"/>
      <c r="K203" s="268"/>
      <c r="L203" s="267"/>
    </row>
    <row r="204" spans="1:12">
      <c r="A204" s="268">
        <f t="shared" si="3"/>
        <v>45539.840324074074</v>
      </c>
      <c r="B204" s="266"/>
      <c r="C204" s="267" t="e">
        <f>HLOOKUP(A204,'Courbe In'!$AA$2:$CD$3,2)</f>
        <v>#VALUE!</v>
      </c>
      <c r="D204" s="267" t="e">
        <f ca="1">HLOOKUP(A204,'Courbe In'!$AA$2:$CD$7,5)</f>
        <v>#VALUE!</v>
      </c>
      <c r="E204" s="267" t="e">
        <f>HLOOKUP(A204,'Courbe In'!$AA$2:$CD$7,4)</f>
        <v>#VALUE!</v>
      </c>
      <c r="F204" s="267" t="e">
        <f ca="1">HLOOKUP(A204,'Courbe In'!$AA$2:$CD$7,6)</f>
        <v>#VALUE!</v>
      </c>
      <c r="G204" s="267" t="e">
        <f>HLOOKUP(A204,'Courbe In'!$AA$2:$CD$8,7)</f>
        <v>#VALUE!</v>
      </c>
      <c r="H204" s="267" t="e">
        <f>HLOOKUP(A204,'Courbe In'!$AA$2:$CD$9,8)</f>
        <v>#VALUE!</v>
      </c>
      <c r="I204" s="266"/>
      <c r="J204" s="327"/>
      <c r="K204" s="268"/>
      <c r="L204" s="267"/>
    </row>
    <row r="205" spans="1:12">
      <c r="A205" s="268">
        <f t="shared" si="3"/>
        <v>45540.840324074074</v>
      </c>
      <c r="B205" s="266"/>
      <c r="C205" s="267" t="e">
        <f>HLOOKUP(A205,'Courbe In'!$AA$2:$CD$3,2)</f>
        <v>#VALUE!</v>
      </c>
      <c r="D205" s="267" t="e">
        <f ca="1">HLOOKUP(A205,'Courbe In'!$AA$2:$CD$7,5)</f>
        <v>#VALUE!</v>
      </c>
      <c r="E205" s="267" t="e">
        <f>HLOOKUP(A205,'Courbe In'!$AA$2:$CD$7,4)</f>
        <v>#VALUE!</v>
      </c>
      <c r="F205" s="267" t="e">
        <f ca="1">HLOOKUP(A205,'Courbe In'!$AA$2:$CD$7,6)</f>
        <v>#VALUE!</v>
      </c>
      <c r="G205" s="267" t="e">
        <f>HLOOKUP(A205,'Courbe In'!$AA$2:$CD$8,7)</f>
        <v>#VALUE!</v>
      </c>
      <c r="H205" s="267" t="e">
        <f>HLOOKUP(A205,'Courbe In'!$AA$2:$CD$9,8)</f>
        <v>#VALUE!</v>
      </c>
      <c r="I205" s="266"/>
      <c r="J205" s="327"/>
      <c r="K205" s="268"/>
      <c r="L205" s="267"/>
    </row>
    <row r="206" spans="1:12">
      <c r="A206" s="268">
        <f t="shared" si="3"/>
        <v>45541.840324074074</v>
      </c>
      <c r="B206" s="266"/>
      <c r="C206" s="267" t="e">
        <f>HLOOKUP(A206,'Courbe In'!$AA$2:$CD$3,2)</f>
        <v>#VALUE!</v>
      </c>
      <c r="D206" s="267" t="e">
        <f ca="1">HLOOKUP(A206,'Courbe In'!$AA$2:$CD$7,5)</f>
        <v>#VALUE!</v>
      </c>
      <c r="E206" s="267" t="e">
        <f>HLOOKUP(A206,'Courbe In'!$AA$2:$CD$7,4)</f>
        <v>#VALUE!</v>
      </c>
      <c r="F206" s="267" t="e">
        <f ca="1">HLOOKUP(A206,'Courbe In'!$AA$2:$CD$7,6)</f>
        <v>#VALUE!</v>
      </c>
      <c r="G206" s="267" t="e">
        <f>HLOOKUP(A206,'Courbe In'!$AA$2:$CD$8,7)</f>
        <v>#VALUE!</v>
      </c>
      <c r="H206" s="267" t="e">
        <f>HLOOKUP(A206,'Courbe In'!$AA$2:$CD$9,8)</f>
        <v>#VALUE!</v>
      </c>
      <c r="I206" s="266"/>
      <c r="J206" s="327"/>
      <c r="K206" s="268"/>
      <c r="L206" s="267"/>
    </row>
    <row r="207" spans="1:12">
      <c r="A207" s="268">
        <f t="shared" si="3"/>
        <v>45542.840324074074</v>
      </c>
      <c r="B207" s="266"/>
      <c r="C207" s="267" t="e">
        <f>HLOOKUP(A207,'Courbe In'!$AA$2:$CD$3,2)</f>
        <v>#VALUE!</v>
      </c>
      <c r="D207" s="267" t="e">
        <f ca="1">HLOOKUP(A207,'Courbe In'!$AA$2:$CD$7,5)</f>
        <v>#VALUE!</v>
      </c>
      <c r="E207" s="267" t="e">
        <f>HLOOKUP(A207,'Courbe In'!$AA$2:$CD$7,4)</f>
        <v>#VALUE!</v>
      </c>
      <c r="F207" s="267" t="e">
        <f ca="1">HLOOKUP(A207,'Courbe In'!$AA$2:$CD$7,6)</f>
        <v>#VALUE!</v>
      </c>
      <c r="G207" s="267" t="e">
        <f>HLOOKUP(A207,'Courbe In'!$AA$2:$CD$8,7)</f>
        <v>#VALUE!</v>
      </c>
      <c r="H207" s="267" t="e">
        <f>HLOOKUP(A207,'Courbe In'!$AA$2:$CD$9,8)</f>
        <v>#VALUE!</v>
      </c>
      <c r="I207" s="266"/>
      <c r="J207" s="327"/>
      <c r="K207" s="268"/>
      <c r="L207" s="267"/>
    </row>
    <row r="208" spans="1:12">
      <c r="A208" s="268">
        <f t="shared" si="3"/>
        <v>45543.840324074074</v>
      </c>
      <c r="B208" s="266"/>
      <c r="C208" s="267" t="e">
        <f>HLOOKUP(A208,'Courbe In'!$AA$2:$CD$3,2)</f>
        <v>#VALUE!</v>
      </c>
      <c r="D208" s="267" t="e">
        <f ca="1">HLOOKUP(A208,'Courbe In'!$AA$2:$CD$7,5)</f>
        <v>#VALUE!</v>
      </c>
      <c r="E208" s="267" t="e">
        <f>HLOOKUP(A208,'Courbe In'!$AA$2:$CD$7,4)</f>
        <v>#VALUE!</v>
      </c>
      <c r="F208" s="267" t="e">
        <f ca="1">HLOOKUP(A208,'Courbe In'!$AA$2:$CD$7,6)</f>
        <v>#VALUE!</v>
      </c>
      <c r="G208" s="267" t="e">
        <f>HLOOKUP(A208,'Courbe In'!$AA$2:$CD$8,7)</f>
        <v>#VALUE!</v>
      </c>
      <c r="H208" s="267" t="e">
        <f>HLOOKUP(A208,'Courbe In'!$AA$2:$CD$9,8)</f>
        <v>#VALUE!</v>
      </c>
      <c r="I208" s="266"/>
      <c r="J208" s="327"/>
      <c r="K208" s="268"/>
      <c r="L208" s="267"/>
    </row>
    <row r="209" spans="1:12">
      <c r="A209" s="268">
        <f t="shared" si="3"/>
        <v>45544.840324074074</v>
      </c>
      <c r="B209" s="266"/>
      <c r="C209" s="267" t="e">
        <f>HLOOKUP(A209,'Courbe In'!$AA$2:$CD$3,2)</f>
        <v>#VALUE!</v>
      </c>
      <c r="D209" s="267" t="e">
        <f ca="1">HLOOKUP(A209,'Courbe In'!$AA$2:$CD$7,5)</f>
        <v>#VALUE!</v>
      </c>
      <c r="E209" s="267" t="e">
        <f>HLOOKUP(A209,'Courbe In'!$AA$2:$CD$7,4)</f>
        <v>#VALUE!</v>
      </c>
      <c r="F209" s="267" t="e">
        <f ca="1">HLOOKUP(A209,'Courbe In'!$AA$2:$CD$7,6)</f>
        <v>#VALUE!</v>
      </c>
      <c r="G209" s="267" t="e">
        <f>HLOOKUP(A209,'Courbe In'!$AA$2:$CD$8,7)</f>
        <v>#VALUE!</v>
      </c>
      <c r="H209" s="267" t="e">
        <f>HLOOKUP(A209,'Courbe In'!$AA$2:$CD$9,8)</f>
        <v>#VALUE!</v>
      </c>
      <c r="I209" s="266"/>
      <c r="J209" s="327"/>
      <c r="K209" s="268"/>
      <c r="L209" s="267"/>
    </row>
    <row r="210" spans="1:12">
      <c r="A210" s="268">
        <f t="shared" si="3"/>
        <v>45545.840324074074</v>
      </c>
      <c r="B210" s="266"/>
      <c r="C210" s="267" t="e">
        <f>HLOOKUP(A210,'Courbe In'!$AA$2:$CD$3,2)</f>
        <v>#VALUE!</v>
      </c>
      <c r="D210" s="267" t="e">
        <f ca="1">HLOOKUP(A210,'Courbe In'!$AA$2:$CD$7,5)</f>
        <v>#VALUE!</v>
      </c>
      <c r="E210" s="267" t="e">
        <f>HLOOKUP(A210,'Courbe In'!$AA$2:$CD$7,4)</f>
        <v>#VALUE!</v>
      </c>
      <c r="F210" s="267" t="e">
        <f ca="1">HLOOKUP(A210,'Courbe In'!$AA$2:$CD$7,6)</f>
        <v>#VALUE!</v>
      </c>
      <c r="G210" s="267" t="e">
        <f>HLOOKUP(A210,'Courbe In'!$AA$2:$CD$8,7)</f>
        <v>#VALUE!</v>
      </c>
      <c r="H210" s="267" t="e">
        <f>HLOOKUP(A210,'Courbe In'!$AA$2:$CD$9,8)</f>
        <v>#VALUE!</v>
      </c>
      <c r="I210" s="266"/>
      <c r="J210" s="327"/>
      <c r="K210" s="268"/>
      <c r="L210" s="267"/>
    </row>
    <row r="211" spans="1:12">
      <c r="A211" s="268">
        <f t="shared" si="3"/>
        <v>45546.840324074074</v>
      </c>
      <c r="B211" s="266"/>
      <c r="C211" s="267" t="e">
        <f>HLOOKUP(A211,'Courbe In'!$AA$2:$CD$3,2)</f>
        <v>#VALUE!</v>
      </c>
      <c r="D211" s="267" t="e">
        <f ca="1">HLOOKUP(A211,'Courbe In'!$AA$2:$CD$7,5)</f>
        <v>#VALUE!</v>
      </c>
      <c r="E211" s="267" t="e">
        <f>HLOOKUP(A211,'Courbe In'!$AA$2:$CD$7,4)</f>
        <v>#VALUE!</v>
      </c>
      <c r="F211" s="267" t="e">
        <f ca="1">HLOOKUP(A211,'Courbe In'!$AA$2:$CD$7,6)</f>
        <v>#VALUE!</v>
      </c>
      <c r="G211" s="267" t="e">
        <f>HLOOKUP(A211,'Courbe In'!$AA$2:$CD$8,7)</f>
        <v>#VALUE!</v>
      </c>
      <c r="H211" s="267" t="e">
        <f>HLOOKUP(A211,'Courbe In'!$AA$2:$CD$9,8)</f>
        <v>#VALUE!</v>
      </c>
      <c r="I211" s="266"/>
      <c r="J211" s="327"/>
      <c r="K211" s="268"/>
      <c r="L211" s="267"/>
    </row>
    <row r="212" spans="1:12">
      <c r="A212" s="268">
        <f t="shared" si="3"/>
        <v>45547.840324074074</v>
      </c>
      <c r="B212" s="266"/>
      <c r="C212" s="267" t="e">
        <f>HLOOKUP(A212,'Courbe In'!$AA$2:$CD$3,2)</f>
        <v>#VALUE!</v>
      </c>
      <c r="D212" s="267" t="e">
        <f ca="1">HLOOKUP(A212,'Courbe In'!$AA$2:$CD$7,5)</f>
        <v>#VALUE!</v>
      </c>
      <c r="E212" s="267" t="e">
        <f>HLOOKUP(A212,'Courbe In'!$AA$2:$CD$7,4)</f>
        <v>#VALUE!</v>
      </c>
      <c r="F212" s="267" t="e">
        <f ca="1">HLOOKUP(A212,'Courbe In'!$AA$2:$CD$7,6)</f>
        <v>#VALUE!</v>
      </c>
      <c r="G212" s="267" t="e">
        <f>HLOOKUP(A212,'Courbe In'!$AA$2:$CD$8,7)</f>
        <v>#VALUE!</v>
      </c>
      <c r="H212" s="267" t="e">
        <f>HLOOKUP(A212,'Courbe In'!$AA$2:$CD$9,8)</f>
        <v>#VALUE!</v>
      </c>
      <c r="I212" s="266"/>
      <c r="J212" s="327"/>
      <c r="K212" s="268"/>
      <c r="L212" s="267"/>
    </row>
    <row r="213" spans="1:12">
      <c r="A213" s="268">
        <f t="shared" si="3"/>
        <v>45548.840324074074</v>
      </c>
      <c r="B213" s="266"/>
      <c r="C213" s="267" t="e">
        <f>HLOOKUP(A213,'Courbe In'!$AA$2:$CD$3,2)</f>
        <v>#VALUE!</v>
      </c>
      <c r="D213" s="267" t="e">
        <f ca="1">HLOOKUP(A213,'Courbe In'!$AA$2:$CD$7,5)</f>
        <v>#VALUE!</v>
      </c>
      <c r="E213" s="267" t="e">
        <f>HLOOKUP(A213,'Courbe In'!$AA$2:$CD$7,4)</f>
        <v>#VALUE!</v>
      </c>
      <c r="F213" s="267" t="e">
        <f ca="1">HLOOKUP(A213,'Courbe In'!$AA$2:$CD$7,6)</f>
        <v>#VALUE!</v>
      </c>
      <c r="G213" s="267" t="e">
        <f>HLOOKUP(A213,'Courbe In'!$AA$2:$CD$8,7)</f>
        <v>#VALUE!</v>
      </c>
      <c r="H213" s="267" t="e">
        <f>HLOOKUP(A213,'Courbe In'!$AA$2:$CD$9,8)</f>
        <v>#VALUE!</v>
      </c>
      <c r="I213" s="266"/>
      <c r="J213" s="327"/>
      <c r="K213" s="268"/>
      <c r="L213" s="267"/>
    </row>
    <row r="214" spans="1:12">
      <c r="A214" s="268">
        <f t="shared" si="3"/>
        <v>45549.840324074074</v>
      </c>
      <c r="B214" s="266"/>
      <c r="C214" s="267" t="e">
        <f>HLOOKUP(A214,'Courbe In'!$AA$2:$CD$3,2)</f>
        <v>#VALUE!</v>
      </c>
      <c r="D214" s="267" t="e">
        <f ca="1">HLOOKUP(A214,'Courbe In'!$AA$2:$CD$7,5)</f>
        <v>#VALUE!</v>
      </c>
      <c r="E214" s="267" t="e">
        <f>HLOOKUP(A214,'Courbe In'!$AA$2:$CD$7,4)</f>
        <v>#VALUE!</v>
      </c>
      <c r="F214" s="267" t="e">
        <f ca="1">HLOOKUP(A214,'Courbe In'!$AA$2:$CD$7,6)</f>
        <v>#VALUE!</v>
      </c>
      <c r="G214" s="267" t="e">
        <f>HLOOKUP(A214,'Courbe In'!$AA$2:$CD$8,7)</f>
        <v>#VALUE!</v>
      </c>
      <c r="H214" s="267" t="e">
        <f>HLOOKUP(A214,'Courbe In'!$AA$2:$CD$9,8)</f>
        <v>#VALUE!</v>
      </c>
      <c r="I214" s="266"/>
      <c r="J214" s="327"/>
      <c r="K214" s="268"/>
      <c r="L214" s="267"/>
    </row>
    <row r="215" spans="1:12">
      <c r="A215" s="268">
        <f t="shared" si="3"/>
        <v>45550.840324074074</v>
      </c>
      <c r="B215" s="266"/>
      <c r="C215" s="267" t="e">
        <f>HLOOKUP(A215,'Courbe In'!$AA$2:$CD$3,2)</f>
        <v>#VALUE!</v>
      </c>
      <c r="D215" s="267" t="e">
        <f ca="1">HLOOKUP(A215,'Courbe In'!$AA$2:$CD$7,5)</f>
        <v>#VALUE!</v>
      </c>
      <c r="E215" s="267" t="e">
        <f>HLOOKUP(A215,'Courbe In'!$AA$2:$CD$7,4)</f>
        <v>#VALUE!</v>
      </c>
      <c r="F215" s="267" t="e">
        <f ca="1">HLOOKUP(A215,'Courbe In'!$AA$2:$CD$7,6)</f>
        <v>#VALUE!</v>
      </c>
      <c r="G215" s="267" t="e">
        <f>HLOOKUP(A215,'Courbe In'!$AA$2:$CD$8,7)</f>
        <v>#VALUE!</v>
      </c>
      <c r="H215" s="267" t="e">
        <f>HLOOKUP(A215,'Courbe In'!$AA$2:$CD$9,8)</f>
        <v>#VALUE!</v>
      </c>
      <c r="I215" s="266"/>
      <c r="J215" s="327"/>
      <c r="K215" s="268"/>
      <c r="L215" s="267"/>
    </row>
    <row r="216" spans="1:12">
      <c r="A216" s="268">
        <f t="shared" si="3"/>
        <v>45551.840324074074</v>
      </c>
      <c r="B216" s="266"/>
      <c r="C216" s="267" t="e">
        <f>HLOOKUP(A216,'Courbe In'!$AA$2:$CD$3,2)</f>
        <v>#VALUE!</v>
      </c>
      <c r="D216" s="267" t="e">
        <f ca="1">HLOOKUP(A216,'Courbe In'!$AA$2:$CD$7,5)</f>
        <v>#VALUE!</v>
      </c>
      <c r="E216" s="267" t="e">
        <f>HLOOKUP(A216,'Courbe In'!$AA$2:$CD$7,4)</f>
        <v>#VALUE!</v>
      </c>
      <c r="F216" s="267" t="e">
        <f ca="1">HLOOKUP(A216,'Courbe In'!$AA$2:$CD$7,6)</f>
        <v>#VALUE!</v>
      </c>
      <c r="G216" s="267" t="e">
        <f>HLOOKUP(A216,'Courbe In'!$AA$2:$CD$8,7)</f>
        <v>#VALUE!</v>
      </c>
      <c r="H216" s="267" t="e">
        <f>HLOOKUP(A216,'Courbe In'!$AA$2:$CD$9,8)</f>
        <v>#VALUE!</v>
      </c>
      <c r="I216" s="266"/>
      <c r="J216" s="327"/>
      <c r="K216" s="268"/>
      <c r="L216" s="267"/>
    </row>
    <row r="217" spans="1:12">
      <c r="A217" s="268">
        <f t="shared" si="3"/>
        <v>45552.840324074074</v>
      </c>
      <c r="B217" s="266"/>
      <c r="C217" s="267" t="e">
        <f>HLOOKUP(A217,'Courbe In'!$AA$2:$CD$3,2)</f>
        <v>#VALUE!</v>
      </c>
      <c r="D217" s="267" t="e">
        <f ca="1">HLOOKUP(A217,'Courbe In'!$AA$2:$CD$7,5)</f>
        <v>#VALUE!</v>
      </c>
      <c r="E217" s="267" t="e">
        <f>HLOOKUP(A217,'Courbe In'!$AA$2:$CD$7,4)</f>
        <v>#VALUE!</v>
      </c>
      <c r="F217" s="267" t="e">
        <f ca="1">HLOOKUP(A217,'Courbe In'!$AA$2:$CD$7,6)</f>
        <v>#VALUE!</v>
      </c>
      <c r="G217" s="267" t="e">
        <f>HLOOKUP(A217,'Courbe In'!$AA$2:$CD$8,7)</f>
        <v>#VALUE!</v>
      </c>
      <c r="H217" s="267" t="e">
        <f>HLOOKUP(A217,'Courbe In'!$AA$2:$CD$9,8)</f>
        <v>#VALUE!</v>
      </c>
      <c r="I217" s="266"/>
      <c r="J217" s="327"/>
      <c r="K217" s="268"/>
      <c r="L217" s="267"/>
    </row>
    <row r="218" spans="1:12">
      <c r="A218" s="268">
        <f t="shared" si="3"/>
        <v>45553.840324074074</v>
      </c>
      <c r="B218" s="266"/>
      <c r="C218" s="267" t="e">
        <f>HLOOKUP(A218,'Courbe In'!$AA$2:$CD$3,2)</f>
        <v>#VALUE!</v>
      </c>
      <c r="D218" s="267" t="e">
        <f ca="1">HLOOKUP(A218,'Courbe In'!$AA$2:$CD$7,5)</f>
        <v>#VALUE!</v>
      </c>
      <c r="E218" s="267" t="e">
        <f>HLOOKUP(A218,'Courbe In'!$AA$2:$CD$7,4)</f>
        <v>#VALUE!</v>
      </c>
      <c r="F218" s="267" t="e">
        <f ca="1">HLOOKUP(A218,'Courbe In'!$AA$2:$CD$7,6)</f>
        <v>#VALUE!</v>
      </c>
      <c r="G218" s="267" t="e">
        <f>HLOOKUP(A218,'Courbe In'!$AA$2:$CD$8,7)</f>
        <v>#VALUE!</v>
      </c>
      <c r="H218" s="267" t="e">
        <f>HLOOKUP(A218,'Courbe In'!$AA$2:$CD$9,8)</f>
        <v>#VALUE!</v>
      </c>
      <c r="I218" s="266"/>
      <c r="J218" s="327"/>
      <c r="K218" s="268"/>
      <c r="L218" s="267"/>
    </row>
    <row r="219" spans="1:12">
      <c r="A219" s="268">
        <f t="shared" si="3"/>
        <v>45554.840324074074</v>
      </c>
      <c r="B219" s="266"/>
      <c r="C219" s="267" t="e">
        <f>HLOOKUP(A219,'Courbe In'!$AA$2:$CD$3,2)</f>
        <v>#VALUE!</v>
      </c>
      <c r="D219" s="267" t="e">
        <f ca="1">HLOOKUP(A219,'Courbe In'!$AA$2:$CD$7,5)</f>
        <v>#VALUE!</v>
      </c>
      <c r="E219" s="267" t="e">
        <f>HLOOKUP(A219,'Courbe In'!$AA$2:$CD$7,4)</f>
        <v>#VALUE!</v>
      </c>
      <c r="F219" s="267" t="e">
        <f ca="1">HLOOKUP(A219,'Courbe In'!$AA$2:$CD$7,6)</f>
        <v>#VALUE!</v>
      </c>
      <c r="G219" s="267" t="e">
        <f>HLOOKUP(A219,'Courbe In'!$AA$2:$CD$8,7)</f>
        <v>#VALUE!</v>
      </c>
      <c r="H219" s="267" t="e">
        <f>HLOOKUP(A219,'Courbe In'!$AA$2:$CD$9,8)</f>
        <v>#VALUE!</v>
      </c>
      <c r="I219" s="266"/>
      <c r="J219" s="327"/>
      <c r="K219" s="268"/>
      <c r="L219" s="267"/>
    </row>
    <row r="220" spans="1:12">
      <c r="A220" s="268">
        <f t="shared" si="3"/>
        <v>45555.840324074074</v>
      </c>
      <c r="B220" s="266"/>
      <c r="C220" s="267" t="e">
        <f>HLOOKUP(A220,'Courbe In'!$AA$2:$CD$3,2)</f>
        <v>#VALUE!</v>
      </c>
      <c r="D220" s="267" t="e">
        <f ca="1">HLOOKUP(A220,'Courbe In'!$AA$2:$CD$7,5)</f>
        <v>#VALUE!</v>
      </c>
      <c r="E220" s="267" t="e">
        <f>HLOOKUP(A220,'Courbe In'!$AA$2:$CD$7,4)</f>
        <v>#VALUE!</v>
      </c>
      <c r="F220" s="267" t="e">
        <f ca="1">HLOOKUP(A220,'Courbe In'!$AA$2:$CD$7,6)</f>
        <v>#VALUE!</v>
      </c>
      <c r="G220" s="267" t="e">
        <f>HLOOKUP(A220,'Courbe In'!$AA$2:$CD$8,7)</f>
        <v>#VALUE!</v>
      </c>
      <c r="H220" s="267" t="e">
        <f>HLOOKUP(A220,'Courbe In'!$AA$2:$CD$9,8)</f>
        <v>#VALUE!</v>
      </c>
      <c r="I220" s="266"/>
      <c r="J220" s="327"/>
      <c r="K220" s="268"/>
      <c r="L220" s="267"/>
    </row>
    <row r="221" spans="1:12">
      <c r="A221" s="268">
        <f t="shared" si="3"/>
        <v>45556.840324074074</v>
      </c>
      <c r="B221" s="266"/>
      <c r="C221" s="267" t="e">
        <f>HLOOKUP(A221,'Courbe In'!$AA$2:$CD$3,2)</f>
        <v>#VALUE!</v>
      </c>
      <c r="D221" s="267" t="e">
        <f ca="1">HLOOKUP(A221,'Courbe In'!$AA$2:$CD$7,5)</f>
        <v>#VALUE!</v>
      </c>
      <c r="E221" s="267" t="e">
        <f>HLOOKUP(A221,'Courbe In'!$AA$2:$CD$7,4)</f>
        <v>#VALUE!</v>
      </c>
      <c r="F221" s="267" t="e">
        <f ca="1">HLOOKUP(A221,'Courbe In'!$AA$2:$CD$7,6)</f>
        <v>#VALUE!</v>
      </c>
      <c r="G221" s="267" t="e">
        <f>HLOOKUP(A221,'Courbe In'!$AA$2:$CD$8,7)</f>
        <v>#VALUE!</v>
      </c>
      <c r="H221" s="267" t="e">
        <f>HLOOKUP(A221,'Courbe In'!$AA$2:$CD$9,8)</f>
        <v>#VALUE!</v>
      </c>
      <c r="I221" s="266"/>
      <c r="J221" s="327"/>
      <c r="K221" s="268"/>
      <c r="L221" s="267"/>
    </row>
    <row r="222" spans="1:12">
      <c r="A222" s="268">
        <f t="shared" si="3"/>
        <v>45557.840324074074</v>
      </c>
      <c r="B222" s="266"/>
      <c r="C222" s="267" t="e">
        <f>HLOOKUP(A222,'Courbe In'!$AA$2:$CD$3,2)</f>
        <v>#VALUE!</v>
      </c>
      <c r="D222" s="267" t="e">
        <f ca="1">HLOOKUP(A222,'Courbe In'!$AA$2:$CD$7,5)</f>
        <v>#VALUE!</v>
      </c>
      <c r="E222" s="267" t="e">
        <f>HLOOKUP(A222,'Courbe In'!$AA$2:$CD$7,4)</f>
        <v>#VALUE!</v>
      </c>
      <c r="F222" s="267" t="e">
        <f ca="1">HLOOKUP(A222,'Courbe In'!$AA$2:$CD$7,6)</f>
        <v>#VALUE!</v>
      </c>
      <c r="G222" s="267" t="e">
        <f>HLOOKUP(A222,'Courbe In'!$AA$2:$CD$8,7)</f>
        <v>#VALUE!</v>
      </c>
      <c r="H222" s="267" t="e">
        <f>HLOOKUP(A222,'Courbe In'!$AA$2:$CD$9,8)</f>
        <v>#VALUE!</v>
      </c>
      <c r="I222" s="266"/>
      <c r="J222" s="327"/>
      <c r="K222" s="268"/>
      <c r="L222" s="267"/>
    </row>
    <row r="223" spans="1:12">
      <c r="A223" s="268">
        <f t="shared" si="3"/>
        <v>45558.840324074074</v>
      </c>
      <c r="B223" s="266"/>
      <c r="C223" s="267" t="e">
        <f>HLOOKUP(A223,'Courbe In'!$AA$2:$CD$3,2)</f>
        <v>#VALUE!</v>
      </c>
      <c r="D223" s="267" t="e">
        <f ca="1">HLOOKUP(A223,'Courbe In'!$AA$2:$CD$7,5)</f>
        <v>#VALUE!</v>
      </c>
      <c r="E223" s="267" t="e">
        <f>HLOOKUP(A223,'Courbe In'!$AA$2:$CD$7,4)</f>
        <v>#VALUE!</v>
      </c>
      <c r="F223" s="267" t="e">
        <f ca="1">HLOOKUP(A223,'Courbe In'!$AA$2:$CD$7,6)</f>
        <v>#VALUE!</v>
      </c>
      <c r="G223" s="267" t="e">
        <f>HLOOKUP(A223,'Courbe In'!$AA$2:$CD$8,7)</f>
        <v>#VALUE!</v>
      </c>
      <c r="H223" s="267" t="e">
        <f>HLOOKUP(A223,'Courbe In'!$AA$2:$CD$9,8)</f>
        <v>#VALUE!</v>
      </c>
      <c r="I223" s="266"/>
      <c r="J223" s="327"/>
      <c r="K223" s="268"/>
      <c r="L223" s="267"/>
    </row>
    <row r="224" spans="1:12">
      <c r="A224" s="268">
        <f t="shared" si="3"/>
        <v>45559.840324074074</v>
      </c>
      <c r="B224" s="266"/>
      <c r="C224" s="267" t="e">
        <f>HLOOKUP(A224,'Courbe In'!$AA$2:$CD$3,2)</f>
        <v>#VALUE!</v>
      </c>
      <c r="D224" s="267" t="e">
        <f ca="1">HLOOKUP(A224,'Courbe In'!$AA$2:$CD$7,5)</f>
        <v>#VALUE!</v>
      </c>
      <c r="E224" s="267" t="e">
        <f>HLOOKUP(A224,'Courbe In'!$AA$2:$CD$7,4)</f>
        <v>#VALUE!</v>
      </c>
      <c r="F224" s="267" t="e">
        <f ca="1">HLOOKUP(A224,'Courbe In'!$AA$2:$CD$7,6)</f>
        <v>#VALUE!</v>
      </c>
      <c r="G224" s="267" t="e">
        <f>HLOOKUP(A224,'Courbe In'!$AA$2:$CD$8,7)</f>
        <v>#VALUE!</v>
      </c>
      <c r="H224" s="267" t="e">
        <f>HLOOKUP(A224,'Courbe In'!$AA$2:$CD$9,8)</f>
        <v>#VALUE!</v>
      </c>
      <c r="I224" s="266"/>
      <c r="J224" s="327"/>
      <c r="K224" s="268"/>
      <c r="L224" s="267"/>
    </row>
    <row r="225" spans="1:12">
      <c r="A225" s="268">
        <f t="shared" si="3"/>
        <v>45560.840324074074</v>
      </c>
      <c r="B225" s="266"/>
      <c r="C225" s="267" t="e">
        <f>HLOOKUP(A225,'Courbe In'!$AA$2:$CD$3,2)</f>
        <v>#VALUE!</v>
      </c>
      <c r="D225" s="267" t="e">
        <f ca="1">HLOOKUP(A225,'Courbe In'!$AA$2:$CD$7,5)</f>
        <v>#VALUE!</v>
      </c>
      <c r="E225" s="267" t="e">
        <f>HLOOKUP(A225,'Courbe In'!$AA$2:$CD$7,4)</f>
        <v>#VALUE!</v>
      </c>
      <c r="F225" s="267" t="e">
        <f ca="1">HLOOKUP(A225,'Courbe In'!$AA$2:$CD$7,6)</f>
        <v>#VALUE!</v>
      </c>
      <c r="G225" s="267" t="e">
        <f>HLOOKUP(A225,'Courbe In'!$AA$2:$CD$8,7)</f>
        <v>#VALUE!</v>
      </c>
      <c r="H225" s="267" t="e">
        <f>HLOOKUP(A225,'Courbe In'!$AA$2:$CD$9,8)</f>
        <v>#VALUE!</v>
      </c>
      <c r="I225" s="266"/>
      <c r="J225" s="327"/>
      <c r="K225" s="268"/>
      <c r="L225" s="267"/>
    </row>
    <row r="226" spans="1:12">
      <c r="A226" s="268">
        <f t="shared" si="3"/>
        <v>45561.840324074074</v>
      </c>
      <c r="B226" s="266"/>
      <c r="C226" s="267" t="e">
        <f>HLOOKUP(A226,'Courbe In'!$AA$2:$CD$3,2)</f>
        <v>#VALUE!</v>
      </c>
      <c r="D226" s="267" t="e">
        <f ca="1">HLOOKUP(A226,'Courbe In'!$AA$2:$CD$7,5)</f>
        <v>#VALUE!</v>
      </c>
      <c r="E226" s="267" t="e">
        <f>HLOOKUP(A226,'Courbe In'!$AA$2:$CD$7,4)</f>
        <v>#VALUE!</v>
      </c>
      <c r="F226" s="267" t="e">
        <f ca="1">HLOOKUP(A226,'Courbe In'!$AA$2:$CD$7,6)</f>
        <v>#VALUE!</v>
      </c>
      <c r="G226" s="267" t="e">
        <f>HLOOKUP(A226,'Courbe In'!$AA$2:$CD$8,7)</f>
        <v>#VALUE!</v>
      </c>
      <c r="H226" s="267" t="e">
        <f>HLOOKUP(A226,'Courbe In'!$AA$2:$CD$9,8)</f>
        <v>#VALUE!</v>
      </c>
      <c r="I226" s="266"/>
      <c r="J226" s="327"/>
      <c r="K226" s="268"/>
      <c r="L226" s="267"/>
    </row>
    <row r="227" spans="1:12">
      <c r="A227" s="268">
        <f t="shared" si="3"/>
        <v>45562.840324074074</v>
      </c>
      <c r="B227" s="266"/>
      <c r="C227" s="267" t="e">
        <f>HLOOKUP(A227,'Courbe In'!$AA$2:$CD$3,2)</f>
        <v>#VALUE!</v>
      </c>
      <c r="D227" s="267" t="e">
        <f ca="1">HLOOKUP(A227,'Courbe In'!$AA$2:$CD$7,5)</f>
        <v>#VALUE!</v>
      </c>
      <c r="E227" s="267" t="e">
        <f>HLOOKUP(A227,'Courbe In'!$AA$2:$CD$7,4)</f>
        <v>#VALUE!</v>
      </c>
      <c r="F227" s="267" t="e">
        <f ca="1">HLOOKUP(A227,'Courbe In'!$AA$2:$CD$7,6)</f>
        <v>#VALUE!</v>
      </c>
      <c r="G227" s="267" t="e">
        <f>HLOOKUP(A227,'Courbe In'!$AA$2:$CD$8,7)</f>
        <v>#VALUE!</v>
      </c>
      <c r="H227" s="267" t="e">
        <f>HLOOKUP(A227,'Courbe In'!$AA$2:$CD$9,8)</f>
        <v>#VALUE!</v>
      </c>
      <c r="I227" s="266"/>
      <c r="J227" s="327"/>
      <c r="K227" s="268"/>
      <c r="L227" s="267"/>
    </row>
    <row r="228" spans="1:12">
      <c r="A228" s="268">
        <f t="shared" si="3"/>
        <v>45563.840324074074</v>
      </c>
      <c r="B228" s="266"/>
      <c r="C228" s="267" t="e">
        <f>HLOOKUP(A228,'Courbe In'!$AA$2:$CD$3,2)</f>
        <v>#VALUE!</v>
      </c>
      <c r="D228" s="267" t="e">
        <f ca="1">HLOOKUP(A228,'Courbe In'!$AA$2:$CD$7,5)</f>
        <v>#VALUE!</v>
      </c>
      <c r="E228" s="267" t="e">
        <f>HLOOKUP(A228,'Courbe In'!$AA$2:$CD$7,4)</f>
        <v>#VALUE!</v>
      </c>
      <c r="F228" s="267" t="e">
        <f ca="1">HLOOKUP(A228,'Courbe In'!$AA$2:$CD$7,6)</f>
        <v>#VALUE!</v>
      </c>
      <c r="G228" s="267" t="e">
        <f>HLOOKUP(A228,'Courbe In'!$AA$2:$CD$8,7)</f>
        <v>#VALUE!</v>
      </c>
      <c r="H228" s="267" t="e">
        <f>HLOOKUP(A228,'Courbe In'!$AA$2:$CD$9,8)</f>
        <v>#VALUE!</v>
      </c>
      <c r="I228" s="266"/>
      <c r="J228" s="327"/>
      <c r="K228" s="268"/>
      <c r="L228" s="267"/>
    </row>
    <row r="229" spans="1:12">
      <c r="A229" s="268">
        <f t="shared" si="3"/>
        <v>45564.840324074074</v>
      </c>
      <c r="B229" s="266"/>
      <c r="C229" s="267" t="e">
        <f>HLOOKUP(A229,'Courbe In'!$AA$2:$CD$3,2)</f>
        <v>#VALUE!</v>
      </c>
      <c r="D229" s="267" t="e">
        <f ca="1">HLOOKUP(A229,'Courbe In'!$AA$2:$CD$7,5)</f>
        <v>#VALUE!</v>
      </c>
      <c r="E229" s="267" t="e">
        <f>HLOOKUP(A229,'Courbe In'!$AA$2:$CD$7,4)</f>
        <v>#VALUE!</v>
      </c>
      <c r="F229" s="267" t="e">
        <f ca="1">HLOOKUP(A229,'Courbe In'!$AA$2:$CD$7,6)</f>
        <v>#VALUE!</v>
      </c>
      <c r="G229" s="267" t="e">
        <f>HLOOKUP(A229,'Courbe In'!$AA$2:$CD$8,7)</f>
        <v>#VALUE!</v>
      </c>
      <c r="H229" s="267" t="e">
        <f>HLOOKUP(A229,'Courbe In'!$AA$2:$CD$9,8)</f>
        <v>#VALUE!</v>
      </c>
      <c r="I229" s="266"/>
      <c r="J229" s="327"/>
      <c r="K229" s="268"/>
      <c r="L229" s="267"/>
    </row>
    <row r="230" spans="1:12">
      <c r="A230" s="268">
        <f t="shared" si="3"/>
        <v>45565.840324074074</v>
      </c>
      <c r="B230" s="266"/>
      <c r="C230" s="267" t="e">
        <f>HLOOKUP(A230,'Courbe In'!$AA$2:$CD$3,2)</f>
        <v>#VALUE!</v>
      </c>
      <c r="D230" s="267" t="e">
        <f ca="1">HLOOKUP(A230,'Courbe In'!$AA$2:$CD$7,5)</f>
        <v>#VALUE!</v>
      </c>
      <c r="E230" s="267" t="e">
        <f>HLOOKUP(A230,'Courbe In'!$AA$2:$CD$7,4)</f>
        <v>#VALUE!</v>
      </c>
      <c r="F230" s="267" t="e">
        <f ca="1">HLOOKUP(A230,'Courbe In'!$AA$2:$CD$7,6)</f>
        <v>#VALUE!</v>
      </c>
      <c r="G230" s="267" t="e">
        <f>HLOOKUP(A230,'Courbe In'!$AA$2:$CD$8,7)</f>
        <v>#VALUE!</v>
      </c>
      <c r="H230" s="267" t="e">
        <f>HLOOKUP(A230,'Courbe In'!$AA$2:$CD$9,8)</f>
        <v>#VALUE!</v>
      </c>
      <c r="I230" s="266"/>
      <c r="J230" s="327"/>
      <c r="K230" s="268"/>
      <c r="L230" s="267"/>
    </row>
    <row r="231" spans="1:12">
      <c r="A231" s="268">
        <f t="shared" si="3"/>
        <v>45566.840324074074</v>
      </c>
      <c r="B231" s="266"/>
      <c r="C231" s="267" t="e">
        <f>HLOOKUP(A231,'Courbe In'!$AA$2:$CD$3,2)</f>
        <v>#VALUE!</v>
      </c>
      <c r="D231" s="267" t="e">
        <f ca="1">HLOOKUP(A231,'Courbe In'!$AA$2:$CD$7,5)</f>
        <v>#VALUE!</v>
      </c>
      <c r="E231" s="267" t="e">
        <f>HLOOKUP(A231,'Courbe In'!$AA$2:$CD$7,4)</f>
        <v>#VALUE!</v>
      </c>
      <c r="F231" s="267" t="e">
        <f ca="1">HLOOKUP(A231,'Courbe In'!$AA$2:$CD$7,6)</f>
        <v>#VALUE!</v>
      </c>
      <c r="G231" s="267" t="e">
        <f>HLOOKUP(A231,'Courbe In'!$AA$2:$CD$8,7)</f>
        <v>#VALUE!</v>
      </c>
      <c r="H231" s="267" t="e">
        <f>HLOOKUP(A231,'Courbe In'!$AA$2:$CD$9,8)</f>
        <v>#VALUE!</v>
      </c>
      <c r="I231" s="266"/>
      <c r="J231" s="327"/>
      <c r="K231" s="268"/>
      <c r="L231" s="267"/>
    </row>
    <row r="232" spans="1:12">
      <c r="A232" s="268">
        <f t="shared" si="3"/>
        <v>45567.840324074074</v>
      </c>
      <c r="B232" s="266"/>
      <c r="C232" s="267" t="e">
        <f>HLOOKUP(A232,'Courbe In'!$AA$2:$CD$3,2)</f>
        <v>#VALUE!</v>
      </c>
      <c r="D232" s="267" t="e">
        <f ca="1">HLOOKUP(A232,'Courbe In'!$AA$2:$CD$7,5)</f>
        <v>#VALUE!</v>
      </c>
      <c r="E232" s="267" t="e">
        <f>HLOOKUP(A232,'Courbe In'!$AA$2:$CD$7,4)</f>
        <v>#VALUE!</v>
      </c>
      <c r="F232" s="267" t="e">
        <f ca="1">HLOOKUP(A232,'Courbe In'!$AA$2:$CD$7,6)</f>
        <v>#VALUE!</v>
      </c>
      <c r="G232" s="267" t="e">
        <f>HLOOKUP(A232,'Courbe In'!$AA$2:$CD$8,7)</f>
        <v>#VALUE!</v>
      </c>
      <c r="H232" s="267" t="e">
        <f>HLOOKUP(A232,'Courbe In'!$AA$2:$CD$9,8)</f>
        <v>#VALUE!</v>
      </c>
      <c r="I232" s="266"/>
      <c r="J232" s="327"/>
      <c r="K232" s="268"/>
      <c r="L232" s="267"/>
    </row>
    <row r="233" spans="1:12">
      <c r="A233" s="268">
        <f t="shared" si="3"/>
        <v>45568.840324074074</v>
      </c>
      <c r="B233" s="266"/>
      <c r="C233" s="267" t="e">
        <f>HLOOKUP(A233,'Courbe In'!$AA$2:$CD$3,2)</f>
        <v>#VALUE!</v>
      </c>
      <c r="D233" s="267" t="e">
        <f ca="1">HLOOKUP(A233,'Courbe In'!$AA$2:$CD$7,5)</f>
        <v>#VALUE!</v>
      </c>
      <c r="E233" s="267" t="e">
        <f>HLOOKUP(A233,'Courbe In'!$AA$2:$CD$7,4)</f>
        <v>#VALUE!</v>
      </c>
      <c r="F233" s="267" t="e">
        <f ca="1">HLOOKUP(A233,'Courbe In'!$AA$2:$CD$7,6)</f>
        <v>#VALUE!</v>
      </c>
      <c r="G233" s="267" t="e">
        <f>HLOOKUP(A233,'Courbe In'!$AA$2:$CD$8,7)</f>
        <v>#VALUE!</v>
      </c>
      <c r="H233" s="267" t="e">
        <f>HLOOKUP(A233,'Courbe In'!$AA$2:$CD$9,8)</f>
        <v>#VALUE!</v>
      </c>
      <c r="I233" s="266"/>
      <c r="J233" s="327"/>
      <c r="K233" s="268"/>
      <c r="L233" s="267"/>
    </row>
    <row r="234" spans="1:12">
      <c r="A234" s="268">
        <f t="shared" si="3"/>
        <v>45569.840324074074</v>
      </c>
      <c r="B234" s="266"/>
      <c r="C234" s="267" t="e">
        <f>HLOOKUP(A234,'Courbe In'!$AA$2:$CD$3,2)</f>
        <v>#VALUE!</v>
      </c>
      <c r="D234" s="267" t="e">
        <f ca="1">HLOOKUP(A234,'Courbe In'!$AA$2:$CD$7,5)</f>
        <v>#VALUE!</v>
      </c>
      <c r="E234" s="267" t="e">
        <f>HLOOKUP(A234,'Courbe In'!$AA$2:$CD$7,4)</f>
        <v>#VALUE!</v>
      </c>
      <c r="F234" s="267" t="e">
        <f ca="1">HLOOKUP(A234,'Courbe In'!$AA$2:$CD$7,6)</f>
        <v>#VALUE!</v>
      </c>
      <c r="G234" s="267" t="e">
        <f>HLOOKUP(A234,'Courbe In'!$AA$2:$CD$8,7)</f>
        <v>#VALUE!</v>
      </c>
      <c r="H234" s="267" t="e">
        <f>HLOOKUP(A234,'Courbe In'!$AA$2:$CD$9,8)</f>
        <v>#VALUE!</v>
      </c>
      <c r="I234" s="266"/>
      <c r="J234" s="327"/>
      <c r="K234" s="268"/>
      <c r="L234" s="267"/>
    </row>
    <row r="235" spans="1:12">
      <c r="A235" s="268">
        <f t="shared" si="3"/>
        <v>45570.840324074074</v>
      </c>
      <c r="B235" s="266"/>
      <c r="C235" s="267" t="e">
        <f>HLOOKUP(A235,'Courbe In'!$AA$2:$CD$3,2)</f>
        <v>#VALUE!</v>
      </c>
      <c r="D235" s="267" t="e">
        <f ca="1">HLOOKUP(A235,'Courbe In'!$AA$2:$CD$7,5)</f>
        <v>#VALUE!</v>
      </c>
      <c r="E235" s="267" t="e">
        <f>HLOOKUP(A235,'Courbe In'!$AA$2:$CD$7,4)</f>
        <v>#VALUE!</v>
      </c>
      <c r="F235" s="267" t="e">
        <f ca="1">HLOOKUP(A235,'Courbe In'!$AA$2:$CD$7,6)</f>
        <v>#VALUE!</v>
      </c>
      <c r="G235" s="267" t="e">
        <f>HLOOKUP(A235,'Courbe In'!$AA$2:$CD$8,7)</f>
        <v>#VALUE!</v>
      </c>
      <c r="H235" s="267" t="e">
        <f>HLOOKUP(A235,'Courbe In'!$AA$2:$CD$9,8)</f>
        <v>#VALUE!</v>
      </c>
      <c r="I235" s="266"/>
      <c r="J235" s="327"/>
      <c r="K235" s="268"/>
      <c r="L235" s="267"/>
    </row>
    <row r="236" spans="1:12">
      <c r="A236" s="268">
        <f t="shared" si="3"/>
        <v>45571.840324074074</v>
      </c>
      <c r="B236" s="266"/>
      <c r="C236" s="267" t="e">
        <f>HLOOKUP(A236,'Courbe In'!$AA$2:$CD$3,2)</f>
        <v>#VALUE!</v>
      </c>
      <c r="D236" s="267" t="e">
        <f ca="1">HLOOKUP(A236,'Courbe In'!$AA$2:$CD$7,5)</f>
        <v>#VALUE!</v>
      </c>
      <c r="E236" s="267" t="e">
        <f>HLOOKUP(A236,'Courbe In'!$AA$2:$CD$7,4)</f>
        <v>#VALUE!</v>
      </c>
      <c r="F236" s="267" t="e">
        <f ca="1">HLOOKUP(A236,'Courbe In'!$AA$2:$CD$7,6)</f>
        <v>#VALUE!</v>
      </c>
      <c r="G236" s="267" t="e">
        <f>HLOOKUP(A236,'Courbe In'!$AA$2:$CD$8,7)</f>
        <v>#VALUE!</v>
      </c>
      <c r="H236" s="267" t="e">
        <f>HLOOKUP(A236,'Courbe In'!$AA$2:$CD$9,8)</f>
        <v>#VALUE!</v>
      </c>
      <c r="I236" s="266"/>
      <c r="J236" s="327"/>
      <c r="K236" s="268"/>
      <c r="L236" s="267"/>
    </row>
    <row r="237" spans="1:12">
      <c r="A237" s="268">
        <f t="shared" si="3"/>
        <v>45572.840324074074</v>
      </c>
      <c r="B237" s="266"/>
      <c r="C237" s="267" t="e">
        <f>HLOOKUP(A237,'Courbe In'!$AA$2:$CD$3,2)</f>
        <v>#VALUE!</v>
      </c>
      <c r="D237" s="267" t="e">
        <f ca="1">HLOOKUP(A237,'Courbe In'!$AA$2:$CD$7,5)</f>
        <v>#VALUE!</v>
      </c>
      <c r="E237" s="267" t="e">
        <f>HLOOKUP(A237,'Courbe In'!$AA$2:$CD$7,4)</f>
        <v>#VALUE!</v>
      </c>
      <c r="F237" s="267" t="e">
        <f ca="1">HLOOKUP(A237,'Courbe In'!$AA$2:$CD$7,6)</f>
        <v>#VALUE!</v>
      </c>
      <c r="G237" s="267" t="e">
        <f>HLOOKUP(A237,'Courbe In'!$AA$2:$CD$8,7)</f>
        <v>#VALUE!</v>
      </c>
      <c r="H237" s="267" t="e">
        <f>HLOOKUP(A237,'Courbe In'!$AA$2:$CD$9,8)</f>
        <v>#VALUE!</v>
      </c>
      <c r="I237" s="266"/>
      <c r="J237" s="327"/>
      <c r="K237" s="268"/>
      <c r="L237" s="267"/>
    </row>
    <row r="238" spans="1:12">
      <c r="A238" s="268">
        <f t="shared" si="3"/>
        <v>45573.840324074074</v>
      </c>
      <c r="B238" s="266"/>
      <c r="C238" s="267" t="e">
        <f>HLOOKUP(A238,'Courbe In'!$AA$2:$CD$3,2)</f>
        <v>#VALUE!</v>
      </c>
      <c r="D238" s="267" t="e">
        <f ca="1">HLOOKUP(A238,'Courbe In'!$AA$2:$CD$7,5)</f>
        <v>#VALUE!</v>
      </c>
      <c r="E238" s="267" t="e">
        <f>HLOOKUP(A238,'Courbe In'!$AA$2:$CD$7,4)</f>
        <v>#VALUE!</v>
      </c>
      <c r="F238" s="267" t="e">
        <f ca="1">HLOOKUP(A238,'Courbe In'!$AA$2:$CD$7,6)</f>
        <v>#VALUE!</v>
      </c>
      <c r="G238" s="267" t="e">
        <f>HLOOKUP(A238,'Courbe In'!$AA$2:$CD$8,7)</f>
        <v>#VALUE!</v>
      </c>
      <c r="H238" s="267" t="e">
        <f>HLOOKUP(A238,'Courbe In'!$AA$2:$CD$9,8)</f>
        <v>#VALUE!</v>
      </c>
      <c r="I238" s="266"/>
      <c r="J238" s="327"/>
      <c r="K238" s="268"/>
      <c r="L238" s="267"/>
    </row>
    <row r="239" spans="1:12">
      <c r="A239" s="268">
        <f t="shared" si="3"/>
        <v>45574.840324074074</v>
      </c>
      <c r="B239" s="266"/>
      <c r="C239" s="267" t="e">
        <f>HLOOKUP(A239,'Courbe In'!$AA$2:$CD$3,2)</f>
        <v>#VALUE!</v>
      </c>
      <c r="D239" s="267" t="e">
        <f ca="1">HLOOKUP(A239,'Courbe In'!$AA$2:$CD$7,5)</f>
        <v>#VALUE!</v>
      </c>
      <c r="E239" s="267" t="e">
        <f>HLOOKUP(A239,'Courbe In'!$AA$2:$CD$7,4)</f>
        <v>#VALUE!</v>
      </c>
      <c r="F239" s="267" t="e">
        <f ca="1">HLOOKUP(A239,'Courbe In'!$AA$2:$CD$7,6)</f>
        <v>#VALUE!</v>
      </c>
      <c r="G239" s="267" t="e">
        <f>HLOOKUP(A239,'Courbe In'!$AA$2:$CD$8,7)</f>
        <v>#VALUE!</v>
      </c>
      <c r="H239" s="267" t="e">
        <f>HLOOKUP(A239,'Courbe In'!$AA$2:$CD$9,8)</f>
        <v>#VALUE!</v>
      </c>
      <c r="I239" s="266"/>
      <c r="J239" s="327"/>
      <c r="K239" s="268"/>
      <c r="L239" s="267"/>
    </row>
    <row r="240" spans="1:12">
      <c r="A240" s="268">
        <f t="shared" si="3"/>
        <v>45575.840324074074</v>
      </c>
      <c r="B240" s="266"/>
      <c r="C240" s="267" t="e">
        <f>HLOOKUP(A240,'Courbe In'!$AA$2:$CD$3,2)</f>
        <v>#VALUE!</v>
      </c>
      <c r="D240" s="267" t="e">
        <f ca="1">HLOOKUP(A240,'Courbe In'!$AA$2:$CD$7,5)</f>
        <v>#VALUE!</v>
      </c>
      <c r="E240" s="267" t="e">
        <f>HLOOKUP(A240,'Courbe In'!$AA$2:$CD$7,4)</f>
        <v>#VALUE!</v>
      </c>
      <c r="F240" s="267" t="e">
        <f ca="1">HLOOKUP(A240,'Courbe In'!$AA$2:$CD$7,6)</f>
        <v>#VALUE!</v>
      </c>
      <c r="G240" s="267" t="e">
        <f>HLOOKUP(A240,'Courbe In'!$AA$2:$CD$8,7)</f>
        <v>#VALUE!</v>
      </c>
      <c r="H240" s="267" t="e">
        <f>HLOOKUP(A240,'Courbe In'!$AA$2:$CD$9,8)</f>
        <v>#VALUE!</v>
      </c>
      <c r="I240" s="266"/>
      <c r="J240" s="327"/>
      <c r="K240" s="268"/>
      <c r="L240" s="267"/>
    </row>
    <row r="241" spans="1:12">
      <c r="A241" s="268">
        <f t="shared" si="3"/>
        <v>45576.840324074074</v>
      </c>
      <c r="B241" s="266"/>
      <c r="C241" s="267" t="e">
        <f>HLOOKUP(A241,'Courbe In'!$AA$2:$CD$3,2)</f>
        <v>#VALUE!</v>
      </c>
      <c r="D241" s="267" t="e">
        <f ca="1">HLOOKUP(A241,'Courbe In'!$AA$2:$CD$7,5)</f>
        <v>#VALUE!</v>
      </c>
      <c r="E241" s="267" t="e">
        <f>HLOOKUP(A241,'Courbe In'!$AA$2:$CD$7,4)</f>
        <v>#VALUE!</v>
      </c>
      <c r="F241" s="267" t="e">
        <f ca="1">HLOOKUP(A241,'Courbe In'!$AA$2:$CD$7,6)</f>
        <v>#VALUE!</v>
      </c>
      <c r="G241" s="267" t="e">
        <f>HLOOKUP(A241,'Courbe In'!$AA$2:$CD$8,7)</f>
        <v>#VALUE!</v>
      </c>
      <c r="H241" s="267" t="e">
        <f>HLOOKUP(A241,'Courbe In'!$AA$2:$CD$9,8)</f>
        <v>#VALUE!</v>
      </c>
      <c r="I241" s="266"/>
      <c r="J241" s="327"/>
      <c r="K241" s="268"/>
      <c r="L241" s="267"/>
    </row>
    <row r="242" spans="1:12">
      <c r="A242" s="268">
        <f t="shared" si="3"/>
        <v>45577.840324074074</v>
      </c>
      <c r="B242" s="266"/>
      <c r="C242" s="267" t="e">
        <f>HLOOKUP(A242,'Courbe In'!$AA$2:$CD$3,2)</f>
        <v>#VALUE!</v>
      </c>
      <c r="D242" s="267" t="e">
        <f ca="1">HLOOKUP(A242,'Courbe In'!$AA$2:$CD$7,5)</f>
        <v>#VALUE!</v>
      </c>
      <c r="E242" s="267" t="e">
        <f>HLOOKUP(A242,'Courbe In'!$AA$2:$CD$7,4)</f>
        <v>#VALUE!</v>
      </c>
      <c r="F242" s="267" t="e">
        <f ca="1">HLOOKUP(A242,'Courbe In'!$AA$2:$CD$7,6)</f>
        <v>#VALUE!</v>
      </c>
      <c r="G242" s="267" t="e">
        <f>HLOOKUP(A242,'Courbe In'!$AA$2:$CD$8,7)</f>
        <v>#VALUE!</v>
      </c>
      <c r="H242" s="267" t="e">
        <f>HLOOKUP(A242,'Courbe In'!$AA$2:$CD$9,8)</f>
        <v>#VALUE!</v>
      </c>
      <c r="I242" s="266"/>
      <c r="J242" s="327"/>
      <c r="K242" s="268"/>
      <c r="L242" s="267"/>
    </row>
    <row r="243" spans="1:12">
      <c r="A243" s="268">
        <f t="shared" si="3"/>
        <v>45578.840324074074</v>
      </c>
      <c r="B243" s="266"/>
      <c r="C243" s="267" t="e">
        <f>HLOOKUP(A243,'Courbe In'!$AA$2:$CD$3,2)</f>
        <v>#VALUE!</v>
      </c>
      <c r="D243" s="267" t="e">
        <f ca="1">HLOOKUP(A243,'Courbe In'!$AA$2:$CD$7,5)</f>
        <v>#VALUE!</v>
      </c>
      <c r="E243" s="267" t="e">
        <f>HLOOKUP(A243,'Courbe In'!$AA$2:$CD$7,4)</f>
        <v>#VALUE!</v>
      </c>
      <c r="F243" s="267" t="e">
        <f ca="1">HLOOKUP(A243,'Courbe In'!$AA$2:$CD$7,6)</f>
        <v>#VALUE!</v>
      </c>
      <c r="G243" s="267" t="e">
        <f>HLOOKUP(A243,'Courbe In'!$AA$2:$CD$8,7)</f>
        <v>#VALUE!</v>
      </c>
      <c r="H243" s="267" t="e">
        <f>HLOOKUP(A243,'Courbe In'!$AA$2:$CD$9,8)</f>
        <v>#VALUE!</v>
      </c>
      <c r="I243" s="266"/>
      <c r="J243" s="327"/>
      <c r="K243" s="268"/>
      <c r="L243" s="267"/>
    </row>
    <row r="244" spans="1:12">
      <c r="A244" s="268">
        <f t="shared" si="3"/>
        <v>45579.840324074074</v>
      </c>
      <c r="B244" s="266"/>
      <c r="C244" s="267" t="e">
        <f>HLOOKUP(A244,'Courbe In'!$AA$2:$CD$3,2)</f>
        <v>#VALUE!</v>
      </c>
      <c r="D244" s="267" t="e">
        <f ca="1">HLOOKUP(A244,'Courbe In'!$AA$2:$CD$7,5)</f>
        <v>#VALUE!</v>
      </c>
      <c r="E244" s="267" t="e">
        <f>HLOOKUP(A244,'Courbe In'!$AA$2:$CD$7,4)</f>
        <v>#VALUE!</v>
      </c>
      <c r="F244" s="267" t="e">
        <f ca="1">HLOOKUP(A244,'Courbe In'!$AA$2:$CD$7,6)</f>
        <v>#VALUE!</v>
      </c>
      <c r="G244" s="267" t="e">
        <f>HLOOKUP(A244,'Courbe In'!$AA$2:$CD$8,7)</f>
        <v>#VALUE!</v>
      </c>
      <c r="H244" s="267" t="e">
        <f>HLOOKUP(A244,'Courbe In'!$AA$2:$CD$9,8)</f>
        <v>#VALUE!</v>
      </c>
      <c r="I244" s="266"/>
      <c r="J244" s="327"/>
      <c r="K244" s="268"/>
      <c r="L244" s="267"/>
    </row>
    <row r="245" spans="1:12">
      <c r="A245" s="268">
        <f t="shared" si="3"/>
        <v>45580.840324074074</v>
      </c>
      <c r="B245" s="266"/>
      <c r="C245" s="267" t="e">
        <f>HLOOKUP(A245,'Courbe In'!$AA$2:$CD$3,2)</f>
        <v>#VALUE!</v>
      </c>
      <c r="D245" s="267" t="e">
        <f ca="1">HLOOKUP(A245,'Courbe In'!$AA$2:$CD$7,5)</f>
        <v>#VALUE!</v>
      </c>
      <c r="E245" s="267" t="e">
        <f>HLOOKUP(A245,'Courbe In'!$AA$2:$CD$7,4)</f>
        <v>#VALUE!</v>
      </c>
      <c r="F245" s="267" t="e">
        <f ca="1">HLOOKUP(A245,'Courbe In'!$AA$2:$CD$7,6)</f>
        <v>#VALUE!</v>
      </c>
      <c r="G245" s="267" t="e">
        <f>HLOOKUP(A245,'Courbe In'!$AA$2:$CD$8,7)</f>
        <v>#VALUE!</v>
      </c>
      <c r="H245" s="267" t="e">
        <f>HLOOKUP(A245,'Courbe In'!$AA$2:$CD$9,8)</f>
        <v>#VALUE!</v>
      </c>
      <c r="I245" s="266"/>
      <c r="J245" s="327"/>
      <c r="K245" s="268"/>
      <c r="L245" s="267"/>
    </row>
    <row r="246" spans="1:12">
      <c r="A246" s="268">
        <f t="shared" si="3"/>
        <v>45581.840324074074</v>
      </c>
      <c r="B246" s="266"/>
      <c r="C246" s="267" t="e">
        <f>HLOOKUP(A246,'Courbe In'!$AA$2:$CD$3,2)</f>
        <v>#VALUE!</v>
      </c>
      <c r="D246" s="267" t="e">
        <f ca="1">HLOOKUP(A246,'Courbe In'!$AA$2:$CD$7,5)</f>
        <v>#VALUE!</v>
      </c>
      <c r="E246" s="267" t="e">
        <f>HLOOKUP(A246,'Courbe In'!$AA$2:$CD$7,4)</f>
        <v>#VALUE!</v>
      </c>
      <c r="F246" s="267" t="e">
        <f ca="1">HLOOKUP(A246,'Courbe In'!$AA$2:$CD$7,6)</f>
        <v>#VALUE!</v>
      </c>
      <c r="G246" s="267" t="e">
        <f>HLOOKUP(A246,'Courbe In'!$AA$2:$CD$8,7)</f>
        <v>#VALUE!</v>
      </c>
      <c r="H246" s="267" t="e">
        <f>HLOOKUP(A246,'Courbe In'!$AA$2:$CD$9,8)</f>
        <v>#VALUE!</v>
      </c>
      <c r="I246" s="266"/>
      <c r="J246" s="327"/>
      <c r="K246" s="268"/>
      <c r="L246" s="267"/>
    </row>
    <row r="247" spans="1:12">
      <c r="A247" s="268">
        <f t="shared" si="3"/>
        <v>45582.840324074074</v>
      </c>
      <c r="B247" s="266"/>
      <c r="C247" s="267" t="e">
        <f>HLOOKUP(A247,'Courbe In'!$AA$2:$CD$3,2)</f>
        <v>#VALUE!</v>
      </c>
      <c r="D247" s="267" t="e">
        <f ca="1">HLOOKUP(A247,'Courbe In'!$AA$2:$CD$7,5)</f>
        <v>#VALUE!</v>
      </c>
      <c r="E247" s="267" t="e">
        <f>HLOOKUP(A247,'Courbe In'!$AA$2:$CD$7,4)</f>
        <v>#VALUE!</v>
      </c>
      <c r="F247" s="267" t="e">
        <f ca="1">HLOOKUP(A247,'Courbe In'!$AA$2:$CD$7,6)</f>
        <v>#VALUE!</v>
      </c>
      <c r="G247" s="267" t="e">
        <f>HLOOKUP(A247,'Courbe In'!$AA$2:$CD$8,7)</f>
        <v>#VALUE!</v>
      </c>
      <c r="H247" s="267" t="e">
        <f>HLOOKUP(A247,'Courbe In'!$AA$2:$CD$9,8)</f>
        <v>#VALUE!</v>
      </c>
      <c r="I247" s="266"/>
      <c r="J247" s="327"/>
      <c r="K247" s="268"/>
      <c r="L247" s="267"/>
    </row>
    <row r="248" spans="1:12">
      <c r="A248" s="268">
        <f t="shared" si="3"/>
        <v>45583.840324074074</v>
      </c>
      <c r="B248" s="266"/>
      <c r="C248" s="267" t="e">
        <f>HLOOKUP(A248,'Courbe In'!$AA$2:$CD$3,2)</f>
        <v>#VALUE!</v>
      </c>
      <c r="D248" s="267" t="e">
        <f ca="1">HLOOKUP(A248,'Courbe In'!$AA$2:$CD$7,5)</f>
        <v>#VALUE!</v>
      </c>
      <c r="E248" s="267" t="e">
        <f>HLOOKUP(A248,'Courbe In'!$AA$2:$CD$7,4)</f>
        <v>#VALUE!</v>
      </c>
      <c r="F248" s="267" t="e">
        <f ca="1">HLOOKUP(A248,'Courbe In'!$AA$2:$CD$7,6)</f>
        <v>#VALUE!</v>
      </c>
      <c r="G248" s="267" t="e">
        <f>HLOOKUP(A248,'Courbe In'!$AA$2:$CD$8,7)</f>
        <v>#VALUE!</v>
      </c>
      <c r="H248" s="267" t="e">
        <f>HLOOKUP(A248,'Courbe In'!$AA$2:$CD$9,8)</f>
        <v>#VALUE!</v>
      </c>
      <c r="I248" s="266"/>
      <c r="J248" s="327"/>
      <c r="K248" s="268"/>
      <c r="L248" s="267"/>
    </row>
    <row r="249" spans="1:12">
      <c r="A249" s="268">
        <f t="shared" si="3"/>
        <v>45584.840324074074</v>
      </c>
      <c r="B249" s="266"/>
      <c r="C249" s="267" t="e">
        <f>HLOOKUP(A249,'Courbe In'!$AA$2:$CD$3,2)</f>
        <v>#VALUE!</v>
      </c>
      <c r="D249" s="267" t="e">
        <f ca="1">HLOOKUP(A249,'Courbe In'!$AA$2:$CD$7,5)</f>
        <v>#VALUE!</v>
      </c>
      <c r="E249" s="267" t="e">
        <f>HLOOKUP(A249,'Courbe In'!$AA$2:$CD$7,4)</f>
        <v>#VALUE!</v>
      </c>
      <c r="F249" s="267" t="e">
        <f ca="1">HLOOKUP(A249,'Courbe In'!$AA$2:$CD$7,6)</f>
        <v>#VALUE!</v>
      </c>
      <c r="G249" s="267" t="e">
        <f>HLOOKUP(A249,'Courbe In'!$AA$2:$CD$8,7)</f>
        <v>#VALUE!</v>
      </c>
      <c r="H249" s="267" t="e">
        <f>HLOOKUP(A249,'Courbe In'!$AA$2:$CD$9,8)</f>
        <v>#VALUE!</v>
      </c>
      <c r="I249" s="266"/>
      <c r="J249" s="327"/>
      <c r="K249" s="268"/>
      <c r="L249" s="267"/>
    </row>
    <row r="250" spans="1:12">
      <c r="A250" s="268">
        <f t="shared" si="3"/>
        <v>45585.840324074074</v>
      </c>
      <c r="B250" s="266"/>
      <c r="C250" s="267" t="e">
        <f>HLOOKUP(A250,'Courbe In'!$AA$2:$CD$3,2)</f>
        <v>#VALUE!</v>
      </c>
      <c r="D250" s="267" t="e">
        <f ca="1">HLOOKUP(A250,'Courbe In'!$AA$2:$CD$7,5)</f>
        <v>#VALUE!</v>
      </c>
      <c r="E250" s="267" t="e">
        <f>HLOOKUP(A250,'Courbe In'!$AA$2:$CD$7,4)</f>
        <v>#VALUE!</v>
      </c>
      <c r="F250" s="267" t="e">
        <f ca="1">HLOOKUP(A250,'Courbe In'!$AA$2:$CD$7,6)</f>
        <v>#VALUE!</v>
      </c>
      <c r="G250" s="267" t="e">
        <f>HLOOKUP(A250,'Courbe In'!$AA$2:$CD$8,7)</f>
        <v>#VALUE!</v>
      </c>
      <c r="H250" s="267" t="e">
        <f>HLOOKUP(A250,'Courbe In'!$AA$2:$CD$9,8)</f>
        <v>#VALUE!</v>
      </c>
      <c r="I250" s="266"/>
      <c r="J250" s="327"/>
      <c r="K250" s="268"/>
      <c r="L250" s="267"/>
    </row>
    <row r="251" spans="1:12">
      <c r="A251" s="268">
        <f t="shared" si="3"/>
        <v>45586.840324074074</v>
      </c>
      <c r="B251" s="266"/>
      <c r="C251" s="267" t="e">
        <f>HLOOKUP(A251,'Courbe In'!$AA$2:$CD$3,2)</f>
        <v>#VALUE!</v>
      </c>
      <c r="D251" s="267" t="e">
        <f ca="1">HLOOKUP(A251,'Courbe In'!$AA$2:$CD$7,5)</f>
        <v>#VALUE!</v>
      </c>
      <c r="E251" s="267" t="e">
        <f>HLOOKUP(A251,'Courbe In'!$AA$2:$CD$7,4)</f>
        <v>#VALUE!</v>
      </c>
      <c r="F251" s="267" t="e">
        <f ca="1">HLOOKUP(A251,'Courbe In'!$AA$2:$CD$7,6)</f>
        <v>#VALUE!</v>
      </c>
      <c r="G251" s="267" t="e">
        <f>HLOOKUP(A251,'Courbe In'!$AA$2:$CD$8,7)</f>
        <v>#VALUE!</v>
      </c>
      <c r="H251" s="267" t="e">
        <f>HLOOKUP(A251,'Courbe In'!$AA$2:$CD$9,8)</f>
        <v>#VALUE!</v>
      </c>
      <c r="I251" s="266"/>
      <c r="J251" s="327"/>
      <c r="K251" s="268"/>
      <c r="L251" s="267"/>
    </row>
    <row r="252" spans="1:12">
      <c r="A252" s="268">
        <f t="shared" si="3"/>
        <v>45587.840324074074</v>
      </c>
      <c r="B252" s="266"/>
      <c r="C252" s="267" t="e">
        <f>HLOOKUP(A252,'Courbe In'!$AA$2:$CD$3,2)</f>
        <v>#VALUE!</v>
      </c>
      <c r="D252" s="267" t="e">
        <f ca="1">HLOOKUP(A252,'Courbe In'!$AA$2:$CD$7,5)</f>
        <v>#VALUE!</v>
      </c>
      <c r="E252" s="267" t="e">
        <f>HLOOKUP(A252,'Courbe In'!$AA$2:$CD$7,4)</f>
        <v>#VALUE!</v>
      </c>
      <c r="F252" s="267" t="e">
        <f ca="1">HLOOKUP(A252,'Courbe In'!$AA$2:$CD$7,6)</f>
        <v>#VALUE!</v>
      </c>
      <c r="G252" s="267" t="e">
        <f>HLOOKUP(A252,'Courbe In'!$AA$2:$CD$8,7)</f>
        <v>#VALUE!</v>
      </c>
      <c r="H252" s="267" t="e">
        <f>HLOOKUP(A252,'Courbe In'!$AA$2:$CD$9,8)</f>
        <v>#VALUE!</v>
      </c>
      <c r="I252" s="266"/>
      <c r="J252" s="327"/>
      <c r="K252" s="268"/>
      <c r="L252" s="267"/>
    </row>
    <row r="253" spans="1:12">
      <c r="A253" s="268">
        <f t="shared" si="3"/>
        <v>45588.840324074074</v>
      </c>
      <c r="B253" s="266"/>
      <c r="C253" s="267" t="e">
        <f>HLOOKUP(A253,'Courbe In'!$AA$2:$CD$3,2)</f>
        <v>#VALUE!</v>
      </c>
      <c r="D253" s="267" t="e">
        <f ca="1">HLOOKUP(A253,'Courbe In'!$AA$2:$CD$7,5)</f>
        <v>#VALUE!</v>
      </c>
      <c r="E253" s="267" t="e">
        <f>HLOOKUP(A253,'Courbe In'!$AA$2:$CD$7,4)</f>
        <v>#VALUE!</v>
      </c>
      <c r="F253" s="267" t="e">
        <f ca="1">HLOOKUP(A253,'Courbe In'!$AA$2:$CD$7,6)</f>
        <v>#VALUE!</v>
      </c>
      <c r="G253" s="267" t="e">
        <f>HLOOKUP(A253,'Courbe In'!$AA$2:$CD$8,7)</f>
        <v>#VALUE!</v>
      </c>
      <c r="H253" s="267" t="e">
        <f>HLOOKUP(A253,'Courbe In'!$AA$2:$CD$9,8)</f>
        <v>#VALUE!</v>
      </c>
      <c r="I253" s="266"/>
      <c r="J253" s="327"/>
      <c r="K253" s="268"/>
      <c r="L253" s="267"/>
    </row>
    <row r="254" spans="1:12">
      <c r="A254" s="268">
        <f t="shared" si="3"/>
        <v>45589.840324074074</v>
      </c>
      <c r="B254" s="266"/>
      <c r="C254" s="267" t="e">
        <f>HLOOKUP(A254,'Courbe In'!$AA$2:$CD$3,2)</f>
        <v>#VALUE!</v>
      </c>
      <c r="D254" s="267" t="e">
        <f ca="1">HLOOKUP(A254,'Courbe In'!$AA$2:$CD$7,5)</f>
        <v>#VALUE!</v>
      </c>
      <c r="E254" s="267" t="e">
        <f>HLOOKUP(A254,'Courbe In'!$AA$2:$CD$7,4)</f>
        <v>#VALUE!</v>
      </c>
      <c r="F254" s="267" t="e">
        <f ca="1">HLOOKUP(A254,'Courbe In'!$AA$2:$CD$7,6)</f>
        <v>#VALUE!</v>
      </c>
      <c r="G254" s="267" t="e">
        <f>HLOOKUP(A254,'Courbe In'!$AA$2:$CD$8,7)</f>
        <v>#VALUE!</v>
      </c>
      <c r="H254" s="267" t="e">
        <f>HLOOKUP(A254,'Courbe In'!$AA$2:$CD$9,8)</f>
        <v>#VALUE!</v>
      </c>
      <c r="I254" s="266"/>
      <c r="J254" s="327"/>
      <c r="K254" s="268"/>
      <c r="L254" s="267"/>
    </row>
    <row r="255" spans="1:12">
      <c r="A255" s="268">
        <f t="shared" si="3"/>
        <v>45590.840324074074</v>
      </c>
      <c r="B255" s="266"/>
      <c r="C255" s="267" t="e">
        <f>HLOOKUP(A255,'Courbe In'!$AA$2:$CD$3,2)</f>
        <v>#VALUE!</v>
      </c>
      <c r="D255" s="267" t="e">
        <f ca="1">HLOOKUP(A255,'Courbe In'!$AA$2:$CD$7,5)</f>
        <v>#VALUE!</v>
      </c>
      <c r="E255" s="267" t="e">
        <f>HLOOKUP(A255,'Courbe In'!$AA$2:$CD$7,4)</f>
        <v>#VALUE!</v>
      </c>
      <c r="F255" s="267" t="e">
        <f ca="1">HLOOKUP(A255,'Courbe In'!$AA$2:$CD$7,6)</f>
        <v>#VALUE!</v>
      </c>
      <c r="G255" s="267" t="e">
        <f>HLOOKUP(A255,'Courbe In'!$AA$2:$CD$8,7)</f>
        <v>#VALUE!</v>
      </c>
      <c r="H255" s="267" t="e">
        <f>HLOOKUP(A255,'Courbe In'!$AA$2:$CD$9,8)</f>
        <v>#VALUE!</v>
      </c>
      <c r="I255" s="266"/>
      <c r="J255" s="327"/>
      <c r="K255" s="268"/>
      <c r="L255" s="267"/>
    </row>
    <row r="256" spans="1:12">
      <c r="A256" s="268">
        <f t="shared" si="3"/>
        <v>45591.840324074074</v>
      </c>
      <c r="B256" s="266"/>
      <c r="C256" s="267" t="e">
        <f>HLOOKUP(A256,'Courbe In'!$AA$2:$CD$3,2)</f>
        <v>#VALUE!</v>
      </c>
      <c r="D256" s="267" t="e">
        <f ca="1">HLOOKUP(A256,'Courbe In'!$AA$2:$CD$7,5)</f>
        <v>#VALUE!</v>
      </c>
      <c r="E256" s="267" t="e">
        <f>HLOOKUP(A256,'Courbe In'!$AA$2:$CD$7,4)</f>
        <v>#VALUE!</v>
      </c>
      <c r="F256" s="267" t="e">
        <f ca="1">HLOOKUP(A256,'Courbe In'!$AA$2:$CD$7,6)</f>
        <v>#VALUE!</v>
      </c>
      <c r="G256" s="267" t="e">
        <f>HLOOKUP(A256,'Courbe In'!$AA$2:$CD$8,7)</f>
        <v>#VALUE!</v>
      </c>
      <c r="H256" s="267" t="e">
        <f>HLOOKUP(A256,'Courbe In'!$AA$2:$CD$9,8)</f>
        <v>#VALUE!</v>
      </c>
      <c r="I256" s="266"/>
      <c r="J256" s="327"/>
      <c r="K256" s="268"/>
      <c r="L256" s="267"/>
    </row>
    <row r="257" spans="1:12">
      <c r="A257" s="268">
        <f t="shared" si="3"/>
        <v>45592.840324074074</v>
      </c>
      <c r="B257" s="266"/>
      <c r="C257" s="267" t="e">
        <f>HLOOKUP(A257,'Courbe In'!$AA$2:$CD$3,2)</f>
        <v>#VALUE!</v>
      </c>
      <c r="D257" s="267" t="e">
        <f ca="1">HLOOKUP(A257,'Courbe In'!$AA$2:$CD$7,5)</f>
        <v>#VALUE!</v>
      </c>
      <c r="E257" s="267" t="e">
        <f>HLOOKUP(A257,'Courbe In'!$AA$2:$CD$7,4)</f>
        <v>#VALUE!</v>
      </c>
      <c r="F257" s="267" t="e">
        <f ca="1">HLOOKUP(A257,'Courbe In'!$AA$2:$CD$7,6)</f>
        <v>#VALUE!</v>
      </c>
      <c r="G257" s="267" t="e">
        <f>HLOOKUP(A257,'Courbe In'!$AA$2:$CD$8,7)</f>
        <v>#VALUE!</v>
      </c>
      <c r="H257" s="267" t="e">
        <f>HLOOKUP(A257,'Courbe In'!$AA$2:$CD$9,8)</f>
        <v>#VALUE!</v>
      </c>
      <c r="I257" s="266"/>
      <c r="J257" s="327"/>
      <c r="K257" s="268"/>
      <c r="L257" s="267"/>
    </row>
    <row r="258" spans="1:12">
      <c r="A258" s="268">
        <f t="shared" si="3"/>
        <v>45593.840324074074</v>
      </c>
      <c r="B258" s="266"/>
      <c r="C258" s="267" t="e">
        <f>HLOOKUP(A258,'Courbe In'!$AA$2:$CD$3,2)</f>
        <v>#VALUE!</v>
      </c>
      <c r="D258" s="267" t="e">
        <f ca="1">HLOOKUP(A258,'Courbe In'!$AA$2:$CD$7,5)</f>
        <v>#VALUE!</v>
      </c>
      <c r="E258" s="267" t="e">
        <f>HLOOKUP(A258,'Courbe In'!$AA$2:$CD$7,4)</f>
        <v>#VALUE!</v>
      </c>
      <c r="F258" s="267" t="e">
        <f ca="1">HLOOKUP(A258,'Courbe In'!$AA$2:$CD$7,6)</f>
        <v>#VALUE!</v>
      </c>
      <c r="G258" s="267" t="e">
        <f>HLOOKUP(A258,'Courbe In'!$AA$2:$CD$8,7)</f>
        <v>#VALUE!</v>
      </c>
      <c r="H258" s="267" t="e">
        <f>HLOOKUP(A258,'Courbe In'!$AA$2:$CD$9,8)</f>
        <v>#VALUE!</v>
      </c>
      <c r="I258" s="266"/>
      <c r="J258" s="327"/>
      <c r="K258" s="268"/>
      <c r="L258" s="267"/>
    </row>
    <row r="259" spans="1:12">
      <c r="A259" s="268">
        <f t="shared" si="3"/>
        <v>45594.840324074074</v>
      </c>
      <c r="B259" s="266"/>
      <c r="C259" s="267" t="e">
        <f>HLOOKUP(A259,'Courbe In'!$AA$2:$CD$3,2)</f>
        <v>#VALUE!</v>
      </c>
      <c r="D259" s="267" t="e">
        <f ca="1">HLOOKUP(A259,'Courbe In'!$AA$2:$CD$7,5)</f>
        <v>#VALUE!</v>
      </c>
      <c r="E259" s="267" t="e">
        <f>HLOOKUP(A259,'Courbe In'!$AA$2:$CD$7,4)</f>
        <v>#VALUE!</v>
      </c>
      <c r="F259" s="267" t="e">
        <f ca="1">HLOOKUP(A259,'Courbe In'!$AA$2:$CD$7,6)</f>
        <v>#VALUE!</v>
      </c>
      <c r="G259" s="267" t="e">
        <f>HLOOKUP(A259,'Courbe In'!$AA$2:$CD$8,7)</f>
        <v>#VALUE!</v>
      </c>
      <c r="H259" s="267" t="e">
        <f>HLOOKUP(A259,'Courbe In'!$AA$2:$CD$9,8)</f>
        <v>#VALUE!</v>
      </c>
      <c r="I259" s="266"/>
      <c r="J259" s="327"/>
      <c r="K259" s="268"/>
      <c r="L259" s="267"/>
    </row>
    <row r="260" spans="1:12">
      <c r="A260" s="268">
        <f t="shared" ref="A260:A323" si="4">A259+1</f>
        <v>45595.840324074074</v>
      </c>
      <c r="B260" s="266"/>
      <c r="C260" s="267" t="e">
        <f>HLOOKUP(A260,'Courbe In'!$AA$2:$CD$3,2)</f>
        <v>#VALUE!</v>
      </c>
      <c r="D260" s="267" t="e">
        <f ca="1">HLOOKUP(A260,'Courbe In'!$AA$2:$CD$7,5)</f>
        <v>#VALUE!</v>
      </c>
      <c r="E260" s="267" t="e">
        <f>HLOOKUP(A260,'Courbe In'!$AA$2:$CD$7,4)</f>
        <v>#VALUE!</v>
      </c>
      <c r="F260" s="267" t="e">
        <f ca="1">HLOOKUP(A260,'Courbe In'!$AA$2:$CD$7,6)</f>
        <v>#VALUE!</v>
      </c>
      <c r="G260" s="267" t="e">
        <f>HLOOKUP(A260,'Courbe In'!$AA$2:$CD$8,7)</f>
        <v>#VALUE!</v>
      </c>
      <c r="H260" s="267" t="e">
        <f>HLOOKUP(A260,'Courbe In'!$AA$2:$CD$9,8)</f>
        <v>#VALUE!</v>
      </c>
      <c r="I260" s="266"/>
      <c r="J260" s="327"/>
      <c r="K260" s="268"/>
      <c r="L260" s="267"/>
    </row>
    <row r="261" spans="1:12">
      <c r="A261" s="268">
        <f t="shared" si="4"/>
        <v>45596.840324074074</v>
      </c>
      <c r="B261" s="266"/>
      <c r="C261" s="267" t="e">
        <f>HLOOKUP(A261,'Courbe In'!$AA$2:$CD$3,2)</f>
        <v>#VALUE!</v>
      </c>
      <c r="D261" s="267" t="e">
        <f ca="1">HLOOKUP(A261,'Courbe In'!$AA$2:$CD$7,5)</f>
        <v>#VALUE!</v>
      </c>
      <c r="E261" s="267" t="e">
        <f>HLOOKUP(A261,'Courbe In'!$AA$2:$CD$7,4)</f>
        <v>#VALUE!</v>
      </c>
      <c r="F261" s="267" t="e">
        <f ca="1">HLOOKUP(A261,'Courbe In'!$AA$2:$CD$7,6)</f>
        <v>#VALUE!</v>
      </c>
      <c r="G261" s="267" t="e">
        <f>HLOOKUP(A261,'Courbe In'!$AA$2:$CD$8,7)</f>
        <v>#VALUE!</v>
      </c>
      <c r="H261" s="267" t="e">
        <f>HLOOKUP(A261,'Courbe In'!$AA$2:$CD$9,8)</f>
        <v>#VALUE!</v>
      </c>
      <c r="I261" s="266"/>
      <c r="J261" s="327"/>
      <c r="K261" s="268"/>
      <c r="L261" s="267"/>
    </row>
    <row r="262" spans="1:12">
      <c r="A262" s="268">
        <f t="shared" si="4"/>
        <v>45597.840324074074</v>
      </c>
      <c r="B262" s="266"/>
      <c r="C262" s="267" t="e">
        <f>HLOOKUP(A262,'Courbe In'!$AA$2:$CD$3,2)</f>
        <v>#VALUE!</v>
      </c>
      <c r="D262" s="267" t="e">
        <f ca="1">HLOOKUP(A262,'Courbe In'!$AA$2:$CD$7,5)</f>
        <v>#VALUE!</v>
      </c>
      <c r="E262" s="267" t="e">
        <f>HLOOKUP(A262,'Courbe In'!$AA$2:$CD$7,4)</f>
        <v>#VALUE!</v>
      </c>
      <c r="F262" s="267" t="e">
        <f ca="1">HLOOKUP(A262,'Courbe In'!$AA$2:$CD$7,6)</f>
        <v>#VALUE!</v>
      </c>
      <c r="G262" s="267" t="e">
        <f>HLOOKUP(A262,'Courbe In'!$AA$2:$CD$8,7)</f>
        <v>#VALUE!</v>
      </c>
      <c r="H262" s="267" t="e">
        <f>HLOOKUP(A262,'Courbe In'!$AA$2:$CD$9,8)</f>
        <v>#VALUE!</v>
      </c>
      <c r="I262" s="266"/>
      <c r="J262" s="327"/>
      <c r="K262" s="268"/>
      <c r="L262" s="267"/>
    </row>
    <row r="263" spans="1:12">
      <c r="A263" s="268">
        <f t="shared" si="4"/>
        <v>45598.840324074074</v>
      </c>
      <c r="B263" s="266"/>
      <c r="C263" s="267" t="e">
        <f>HLOOKUP(A263,'Courbe In'!$AA$2:$CD$3,2)</f>
        <v>#VALUE!</v>
      </c>
      <c r="D263" s="267" t="e">
        <f ca="1">HLOOKUP(A263,'Courbe In'!$AA$2:$CD$7,5)</f>
        <v>#VALUE!</v>
      </c>
      <c r="E263" s="267" t="e">
        <f>HLOOKUP(A263,'Courbe In'!$AA$2:$CD$7,4)</f>
        <v>#VALUE!</v>
      </c>
      <c r="F263" s="267" t="e">
        <f ca="1">HLOOKUP(A263,'Courbe In'!$AA$2:$CD$7,6)</f>
        <v>#VALUE!</v>
      </c>
      <c r="G263" s="267" t="e">
        <f>HLOOKUP(A263,'Courbe In'!$AA$2:$CD$8,7)</f>
        <v>#VALUE!</v>
      </c>
      <c r="H263" s="267" t="e">
        <f>HLOOKUP(A263,'Courbe In'!$AA$2:$CD$9,8)</f>
        <v>#VALUE!</v>
      </c>
      <c r="I263" s="266"/>
      <c r="J263" s="327"/>
      <c r="K263" s="268"/>
      <c r="L263" s="267"/>
    </row>
    <row r="264" spans="1:12">
      <c r="A264" s="268">
        <f t="shared" si="4"/>
        <v>45599.840324074074</v>
      </c>
      <c r="B264" s="266"/>
      <c r="C264" s="267" t="e">
        <f>HLOOKUP(A264,'Courbe In'!$AA$2:$CD$3,2)</f>
        <v>#VALUE!</v>
      </c>
      <c r="D264" s="267" t="e">
        <f ca="1">HLOOKUP(A264,'Courbe In'!$AA$2:$CD$7,5)</f>
        <v>#VALUE!</v>
      </c>
      <c r="E264" s="267" t="e">
        <f>HLOOKUP(A264,'Courbe In'!$AA$2:$CD$7,4)</f>
        <v>#VALUE!</v>
      </c>
      <c r="F264" s="267" t="e">
        <f ca="1">HLOOKUP(A264,'Courbe In'!$AA$2:$CD$7,6)</f>
        <v>#VALUE!</v>
      </c>
      <c r="G264" s="267" t="e">
        <f>HLOOKUP(A264,'Courbe In'!$AA$2:$CD$8,7)</f>
        <v>#VALUE!</v>
      </c>
      <c r="H264" s="267" t="e">
        <f>HLOOKUP(A264,'Courbe In'!$AA$2:$CD$9,8)</f>
        <v>#VALUE!</v>
      </c>
      <c r="I264" s="266"/>
      <c r="J264" s="327"/>
      <c r="K264" s="268"/>
      <c r="L264" s="267"/>
    </row>
    <row r="265" spans="1:12">
      <c r="A265" s="268">
        <f t="shared" si="4"/>
        <v>45600.840324074074</v>
      </c>
      <c r="B265" s="266"/>
      <c r="C265" s="267" t="e">
        <f>HLOOKUP(A265,'Courbe In'!$AA$2:$CD$3,2)</f>
        <v>#VALUE!</v>
      </c>
      <c r="D265" s="267" t="e">
        <f ca="1">HLOOKUP(A265,'Courbe In'!$AA$2:$CD$7,5)</f>
        <v>#VALUE!</v>
      </c>
      <c r="E265" s="267" t="e">
        <f>HLOOKUP(A265,'Courbe In'!$AA$2:$CD$7,4)</f>
        <v>#VALUE!</v>
      </c>
      <c r="F265" s="267" t="e">
        <f ca="1">HLOOKUP(A265,'Courbe In'!$AA$2:$CD$7,6)</f>
        <v>#VALUE!</v>
      </c>
      <c r="G265" s="267" t="e">
        <f>HLOOKUP(A265,'Courbe In'!$AA$2:$CD$8,7)</f>
        <v>#VALUE!</v>
      </c>
      <c r="H265" s="267" t="e">
        <f>HLOOKUP(A265,'Courbe In'!$AA$2:$CD$9,8)</f>
        <v>#VALUE!</v>
      </c>
      <c r="I265" s="266"/>
      <c r="J265" s="327"/>
      <c r="K265" s="268"/>
      <c r="L265" s="267"/>
    </row>
    <row r="266" spans="1:12">
      <c r="A266" s="268">
        <f t="shared" si="4"/>
        <v>45601.840324074074</v>
      </c>
      <c r="B266" s="266"/>
      <c r="C266" s="267" t="e">
        <f>HLOOKUP(A266,'Courbe In'!$AA$2:$CD$3,2)</f>
        <v>#VALUE!</v>
      </c>
      <c r="D266" s="267" t="e">
        <f ca="1">HLOOKUP(A266,'Courbe In'!$AA$2:$CD$7,5)</f>
        <v>#VALUE!</v>
      </c>
      <c r="E266" s="267" t="e">
        <f>HLOOKUP(A266,'Courbe In'!$AA$2:$CD$7,4)</f>
        <v>#VALUE!</v>
      </c>
      <c r="F266" s="267" t="e">
        <f ca="1">HLOOKUP(A266,'Courbe In'!$AA$2:$CD$7,6)</f>
        <v>#VALUE!</v>
      </c>
      <c r="G266" s="267" t="e">
        <f>HLOOKUP(A266,'Courbe In'!$AA$2:$CD$8,7)</f>
        <v>#VALUE!</v>
      </c>
      <c r="H266" s="267" t="e">
        <f>HLOOKUP(A266,'Courbe In'!$AA$2:$CD$9,8)</f>
        <v>#VALUE!</v>
      </c>
      <c r="I266" s="266"/>
      <c r="J266" s="327"/>
      <c r="K266" s="268"/>
      <c r="L266" s="267"/>
    </row>
    <row r="267" spans="1:12">
      <c r="A267" s="268">
        <f t="shared" si="4"/>
        <v>45602.840324074074</v>
      </c>
      <c r="B267" s="266"/>
      <c r="C267" s="267" t="e">
        <f>HLOOKUP(A267,'Courbe In'!$AA$2:$CD$3,2)</f>
        <v>#VALUE!</v>
      </c>
      <c r="D267" s="267" t="e">
        <f ca="1">HLOOKUP(A267,'Courbe In'!$AA$2:$CD$7,5)</f>
        <v>#VALUE!</v>
      </c>
      <c r="E267" s="267" t="e">
        <f>HLOOKUP(A267,'Courbe In'!$AA$2:$CD$7,4)</f>
        <v>#VALUE!</v>
      </c>
      <c r="F267" s="267" t="e">
        <f ca="1">HLOOKUP(A267,'Courbe In'!$AA$2:$CD$7,6)</f>
        <v>#VALUE!</v>
      </c>
      <c r="G267" s="267" t="e">
        <f>HLOOKUP(A267,'Courbe In'!$AA$2:$CD$8,7)</f>
        <v>#VALUE!</v>
      </c>
      <c r="H267" s="267" t="e">
        <f>HLOOKUP(A267,'Courbe In'!$AA$2:$CD$9,8)</f>
        <v>#VALUE!</v>
      </c>
      <c r="I267" s="266"/>
      <c r="J267" s="327"/>
      <c r="K267" s="268"/>
      <c r="L267" s="267"/>
    </row>
    <row r="268" spans="1:12">
      <c r="A268" s="268">
        <f t="shared" si="4"/>
        <v>45603.840324074074</v>
      </c>
      <c r="B268" s="266"/>
      <c r="C268" s="267" t="e">
        <f>HLOOKUP(A268,'Courbe In'!$AA$2:$CD$3,2)</f>
        <v>#VALUE!</v>
      </c>
      <c r="D268" s="267" t="e">
        <f ca="1">HLOOKUP(A268,'Courbe In'!$AA$2:$CD$7,5)</f>
        <v>#VALUE!</v>
      </c>
      <c r="E268" s="267" t="e">
        <f>HLOOKUP(A268,'Courbe In'!$AA$2:$CD$7,4)</f>
        <v>#VALUE!</v>
      </c>
      <c r="F268" s="267" t="e">
        <f ca="1">HLOOKUP(A268,'Courbe In'!$AA$2:$CD$7,6)</f>
        <v>#VALUE!</v>
      </c>
      <c r="G268" s="267" t="e">
        <f>HLOOKUP(A268,'Courbe In'!$AA$2:$CD$8,7)</f>
        <v>#VALUE!</v>
      </c>
      <c r="H268" s="267" t="e">
        <f>HLOOKUP(A268,'Courbe In'!$AA$2:$CD$9,8)</f>
        <v>#VALUE!</v>
      </c>
      <c r="I268" s="266"/>
      <c r="J268" s="327"/>
      <c r="K268" s="268"/>
      <c r="L268" s="267"/>
    </row>
    <row r="269" spans="1:12">
      <c r="A269" s="268">
        <f t="shared" si="4"/>
        <v>45604.840324074074</v>
      </c>
      <c r="B269" s="266"/>
      <c r="C269" s="267" t="e">
        <f>HLOOKUP(A269,'Courbe In'!$AA$2:$CD$3,2)</f>
        <v>#VALUE!</v>
      </c>
      <c r="D269" s="267" t="e">
        <f ca="1">HLOOKUP(A269,'Courbe In'!$AA$2:$CD$7,5)</f>
        <v>#VALUE!</v>
      </c>
      <c r="E269" s="267" t="e">
        <f>HLOOKUP(A269,'Courbe In'!$AA$2:$CD$7,4)</f>
        <v>#VALUE!</v>
      </c>
      <c r="F269" s="267" t="e">
        <f ca="1">HLOOKUP(A269,'Courbe In'!$AA$2:$CD$7,6)</f>
        <v>#VALUE!</v>
      </c>
      <c r="G269" s="267" t="e">
        <f>HLOOKUP(A269,'Courbe In'!$AA$2:$CD$8,7)</f>
        <v>#VALUE!</v>
      </c>
      <c r="H269" s="267" t="e">
        <f>HLOOKUP(A269,'Courbe In'!$AA$2:$CD$9,8)</f>
        <v>#VALUE!</v>
      </c>
      <c r="I269" s="266"/>
      <c r="J269" s="327"/>
      <c r="K269" s="268"/>
      <c r="L269" s="267"/>
    </row>
    <row r="270" spans="1:12">
      <c r="A270" s="268">
        <f t="shared" si="4"/>
        <v>45605.840324074074</v>
      </c>
      <c r="B270" s="266"/>
      <c r="C270" s="267" t="e">
        <f>HLOOKUP(A270,'Courbe In'!$AA$2:$CD$3,2)</f>
        <v>#VALUE!</v>
      </c>
      <c r="D270" s="267" t="e">
        <f ca="1">HLOOKUP(A270,'Courbe In'!$AA$2:$CD$7,5)</f>
        <v>#VALUE!</v>
      </c>
      <c r="E270" s="267" t="e">
        <f>HLOOKUP(A270,'Courbe In'!$AA$2:$CD$7,4)</f>
        <v>#VALUE!</v>
      </c>
      <c r="F270" s="267" t="e">
        <f ca="1">HLOOKUP(A270,'Courbe In'!$AA$2:$CD$7,6)</f>
        <v>#VALUE!</v>
      </c>
      <c r="G270" s="267" t="e">
        <f>HLOOKUP(A270,'Courbe In'!$AA$2:$CD$8,7)</f>
        <v>#VALUE!</v>
      </c>
      <c r="H270" s="267" t="e">
        <f>HLOOKUP(A270,'Courbe In'!$AA$2:$CD$9,8)</f>
        <v>#VALUE!</v>
      </c>
      <c r="I270" s="266"/>
      <c r="J270" s="327"/>
      <c r="K270" s="268"/>
      <c r="L270" s="267"/>
    </row>
    <row r="271" spans="1:12">
      <c r="A271" s="268">
        <f t="shared" si="4"/>
        <v>45606.840324074074</v>
      </c>
      <c r="B271" s="266"/>
      <c r="C271" s="267" t="e">
        <f>HLOOKUP(A271,'Courbe In'!$AA$2:$CD$3,2)</f>
        <v>#VALUE!</v>
      </c>
      <c r="D271" s="267" t="e">
        <f ca="1">HLOOKUP(A271,'Courbe In'!$AA$2:$CD$7,5)</f>
        <v>#VALUE!</v>
      </c>
      <c r="E271" s="267" t="e">
        <f>HLOOKUP(A271,'Courbe In'!$AA$2:$CD$7,4)</f>
        <v>#VALUE!</v>
      </c>
      <c r="F271" s="267" t="e">
        <f ca="1">HLOOKUP(A271,'Courbe In'!$AA$2:$CD$7,6)</f>
        <v>#VALUE!</v>
      </c>
      <c r="G271" s="267" t="e">
        <f>HLOOKUP(A271,'Courbe In'!$AA$2:$CD$8,7)</f>
        <v>#VALUE!</v>
      </c>
      <c r="H271" s="267" t="e">
        <f>HLOOKUP(A271,'Courbe In'!$AA$2:$CD$9,8)</f>
        <v>#VALUE!</v>
      </c>
      <c r="I271" s="266"/>
      <c r="J271" s="327"/>
      <c r="K271" s="268"/>
      <c r="L271" s="267"/>
    </row>
    <row r="272" spans="1:12">
      <c r="A272" s="268">
        <f t="shared" si="4"/>
        <v>45607.840324074074</v>
      </c>
      <c r="B272" s="266"/>
      <c r="C272" s="267" t="e">
        <f>HLOOKUP(A272,'Courbe In'!$AA$2:$CD$3,2)</f>
        <v>#VALUE!</v>
      </c>
      <c r="D272" s="267" t="e">
        <f ca="1">HLOOKUP(A272,'Courbe In'!$AA$2:$CD$7,5)</f>
        <v>#VALUE!</v>
      </c>
      <c r="E272" s="267" t="e">
        <f>HLOOKUP(A272,'Courbe In'!$AA$2:$CD$7,4)</f>
        <v>#VALUE!</v>
      </c>
      <c r="F272" s="267" t="e">
        <f ca="1">HLOOKUP(A272,'Courbe In'!$AA$2:$CD$7,6)</f>
        <v>#VALUE!</v>
      </c>
      <c r="G272" s="267" t="e">
        <f>HLOOKUP(A272,'Courbe In'!$AA$2:$CD$8,7)</f>
        <v>#VALUE!</v>
      </c>
      <c r="H272" s="267" t="e">
        <f>HLOOKUP(A272,'Courbe In'!$AA$2:$CD$9,8)</f>
        <v>#VALUE!</v>
      </c>
      <c r="I272" s="266"/>
      <c r="J272" s="327"/>
      <c r="K272" s="268"/>
      <c r="L272" s="267"/>
    </row>
    <row r="273" spans="1:12">
      <c r="A273" s="268">
        <f t="shared" si="4"/>
        <v>45608.840324074074</v>
      </c>
      <c r="B273" s="266"/>
      <c r="C273" s="267" t="e">
        <f>HLOOKUP(A273,'Courbe In'!$AA$2:$CD$3,2)</f>
        <v>#VALUE!</v>
      </c>
      <c r="D273" s="267" t="e">
        <f ca="1">HLOOKUP(A273,'Courbe In'!$AA$2:$CD$7,5)</f>
        <v>#VALUE!</v>
      </c>
      <c r="E273" s="267" t="e">
        <f>HLOOKUP(A273,'Courbe In'!$AA$2:$CD$7,4)</f>
        <v>#VALUE!</v>
      </c>
      <c r="F273" s="267" t="e">
        <f ca="1">HLOOKUP(A273,'Courbe In'!$AA$2:$CD$7,6)</f>
        <v>#VALUE!</v>
      </c>
      <c r="G273" s="267" t="e">
        <f>HLOOKUP(A273,'Courbe In'!$AA$2:$CD$8,7)</f>
        <v>#VALUE!</v>
      </c>
      <c r="H273" s="267" t="e">
        <f>HLOOKUP(A273,'Courbe In'!$AA$2:$CD$9,8)</f>
        <v>#VALUE!</v>
      </c>
      <c r="I273" s="266"/>
      <c r="J273" s="327"/>
      <c r="K273" s="268"/>
      <c r="L273" s="267"/>
    </row>
    <row r="274" spans="1:12">
      <c r="A274" s="268">
        <f t="shared" si="4"/>
        <v>45609.840324074074</v>
      </c>
      <c r="B274" s="266"/>
      <c r="C274" s="267" t="e">
        <f>HLOOKUP(A274,'Courbe In'!$AA$2:$CD$3,2)</f>
        <v>#VALUE!</v>
      </c>
      <c r="D274" s="267" t="e">
        <f ca="1">HLOOKUP(A274,'Courbe In'!$AA$2:$CD$7,5)</f>
        <v>#VALUE!</v>
      </c>
      <c r="E274" s="267" t="e">
        <f>HLOOKUP(A274,'Courbe In'!$AA$2:$CD$7,4)</f>
        <v>#VALUE!</v>
      </c>
      <c r="F274" s="267" t="e">
        <f ca="1">HLOOKUP(A274,'Courbe In'!$AA$2:$CD$7,6)</f>
        <v>#VALUE!</v>
      </c>
      <c r="G274" s="267" t="e">
        <f>HLOOKUP(A274,'Courbe In'!$AA$2:$CD$8,7)</f>
        <v>#VALUE!</v>
      </c>
      <c r="H274" s="267" t="e">
        <f>HLOOKUP(A274,'Courbe In'!$AA$2:$CD$9,8)</f>
        <v>#VALUE!</v>
      </c>
      <c r="I274" s="266"/>
      <c r="J274" s="327"/>
      <c r="K274" s="268"/>
      <c r="L274" s="267"/>
    </row>
    <row r="275" spans="1:12">
      <c r="A275" s="268">
        <f t="shared" si="4"/>
        <v>45610.840324074074</v>
      </c>
      <c r="B275" s="266"/>
      <c r="C275" s="267" t="e">
        <f>HLOOKUP(A275,'Courbe In'!$AA$2:$CD$3,2)</f>
        <v>#VALUE!</v>
      </c>
      <c r="D275" s="267" t="e">
        <f ca="1">HLOOKUP(A275,'Courbe In'!$AA$2:$CD$7,5)</f>
        <v>#VALUE!</v>
      </c>
      <c r="E275" s="267" t="e">
        <f>HLOOKUP(A275,'Courbe In'!$AA$2:$CD$7,4)</f>
        <v>#VALUE!</v>
      </c>
      <c r="F275" s="267" t="e">
        <f ca="1">HLOOKUP(A275,'Courbe In'!$AA$2:$CD$7,6)</f>
        <v>#VALUE!</v>
      </c>
      <c r="G275" s="267" t="e">
        <f>HLOOKUP(A275,'Courbe In'!$AA$2:$CD$8,7)</f>
        <v>#VALUE!</v>
      </c>
      <c r="H275" s="267" t="e">
        <f>HLOOKUP(A275,'Courbe In'!$AA$2:$CD$9,8)</f>
        <v>#VALUE!</v>
      </c>
      <c r="I275" s="266"/>
      <c r="J275" s="327"/>
      <c r="K275" s="268"/>
      <c r="L275" s="267"/>
    </row>
    <row r="276" spans="1:12">
      <c r="A276" s="268">
        <f t="shared" si="4"/>
        <v>45611.840324074074</v>
      </c>
      <c r="B276" s="266"/>
      <c r="C276" s="267" t="e">
        <f>HLOOKUP(A276,'Courbe In'!$AA$2:$CD$3,2)</f>
        <v>#VALUE!</v>
      </c>
      <c r="D276" s="267" t="e">
        <f ca="1">HLOOKUP(A276,'Courbe In'!$AA$2:$CD$7,5)</f>
        <v>#VALUE!</v>
      </c>
      <c r="E276" s="267" t="e">
        <f>HLOOKUP(A276,'Courbe In'!$AA$2:$CD$7,4)</f>
        <v>#VALUE!</v>
      </c>
      <c r="F276" s="267" t="e">
        <f ca="1">HLOOKUP(A276,'Courbe In'!$AA$2:$CD$7,6)</f>
        <v>#VALUE!</v>
      </c>
      <c r="G276" s="267" t="e">
        <f>HLOOKUP(A276,'Courbe In'!$AA$2:$CD$8,7)</f>
        <v>#VALUE!</v>
      </c>
      <c r="H276" s="267" t="e">
        <f>HLOOKUP(A276,'Courbe In'!$AA$2:$CD$9,8)</f>
        <v>#VALUE!</v>
      </c>
      <c r="I276" s="266"/>
      <c r="J276" s="327"/>
      <c r="K276" s="268"/>
      <c r="L276" s="267"/>
    </row>
    <row r="277" spans="1:12">
      <c r="A277" s="268">
        <f t="shared" si="4"/>
        <v>45612.840324074074</v>
      </c>
      <c r="B277" s="266"/>
      <c r="C277" s="267" t="e">
        <f>HLOOKUP(A277,'Courbe In'!$AA$2:$CD$3,2)</f>
        <v>#VALUE!</v>
      </c>
      <c r="D277" s="267" t="e">
        <f ca="1">HLOOKUP(A277,'Courbe In'!$AA$2:$CD$7,5)</f>
        <v>#VALUE!</v>
      </c>
      <c r="E277" s="267" t="e">
        <f>HLOOKUP(A277,'Courbe In'!$AA$2:$CD$7,4)</f>
        <v>#VALUE!</v>
      </c>
      <c r="F277" s="267" t="e">
        <f ca="1">HLOOKUP(A277,'Courbe In'!$AA$2:$CD$7,6)</f>
        <v>#VALUE!</v>
      </c>
      <c r="G277" s="267" t="e">
        <f>HLOOKUP(A277,'Courbe In'!$AA$2:$CD$8,7)</f>
        <v>#VALUE!</v>
      </c>
      <c r="H277" s="267" t="e">
        <f>HLOOKUP(A277,'Courbe In'!$AA$2:$CD$9,8)</f>
        <v>#VALUE!</v>
      </c>
      <c r="I277" s="266"/>
      <c r="J277" s="327"/>
      <c r="K277" s="268"/>
      <c r="L277" s="267"/>
    </row>
    <row r="278" spans="1:12">
      <c r="A278" s="268">
        <f t="shared" si="4"/>
        <v>45613.840324074074</v>
      </c>
      <c r="B278" s="266"/>
      <c r="C278" s="267" t="e">
        <f>HLOOKUP(A278,'Courbe In'!$AA$2:$CD$3,2)</f>
        <v>#VALUE!</v>
      </c>
      <c r="D278" s="267" t="e">
        <f ca="1">HLOOKUP(A278,'Courbe In'!$AA$2:$CD$7,5)</f>
        <v>#VALUE!</v>
      </c>
      <c r="E278" s="267" t="e">
        <f>HLOOKUP(A278,'Courbe In'!$AA$2:$CD$7,4)</f>
        <v>#VALUE!</v>
      </c>
      <c r="F278" s="267" t="e">
        <f ca="1">HLOOKUP(A278,'Courbe In'!$AA$2:$CD$7,6)</f>
        <v>#VALUE!</v>
      </c>
      <c r="G278" s="267" t="e">
        <f>HLOOKUP(A278,'Courbe In'!$AA$2:$CD$8,7)</f>
        <v>#VALUE!</v>
      </c>
      <c r="H278" s="267" t="e">
        <f>HLOOKUP(A278,'Courbe In'!$AA$2:$CD$9,8)</f>
        <v>#VALUE!</v>
      </c>
      <c r="I278" s="266"/>
      <c r="J278" s="327"/>
      <c r="K278" s="268"/>
      <c r="L278" s="267"/>
    </row>
    <row r="279" spans="1:12">
      <c r="A279" s="268">
        <f t="shared" si="4"/>
        <v>45614.840324074074</v>
      </c>
      <c r="B279" s="266"/>
      <c r="C279" s="267" t="e">
        <f>HLOOKUP(A279,'Courbe In'!$AA$2:$CD$3,2)</f>
        <v>#VALUE!</v>
      </c>
      <c r="D279" s="267" t="e">
        <f ca="1">HLOOKUP(A279,'Courbe In'!$AA$2:$CD$7,5)</f>
        <v>#VALUE!</v>
      </c>
      <c r="E279" s="267" t="e">
        <f>HLOOKUP(A279,'Courbe In'!$AA$2:$CD$7,4)</f>
        <v>#VALUE!</v>
      </c>
      <c r="F279" s="267" t="e">
        <f ca="1">HLOOKUP(A279,'Courbe In'!$AA$2:$CD$7,6)</f>
        <v>#VALUE!</v>
      </c>
      <c r="G279" s="267" t="e">
        <f>HLOOKUP(A279,'Courbe In'!$AA$2:$CD$8,7)</f>
        <v>#VALUE!</v>
      </c>
      <c r="H279" s="267" t="e">
        <f>HLOOKUP(A279,'Courbe In'!$AA$2:$CD$9,8)</f>
        <v>#VALUE!</v>
      </c>
      <c r="I279" s="266"/>
      <c r="J279" s="327"/>
      <c r="K279" s="268"/>
      <c r="L279" s="267"/>
    </row>
    <row r="280" spans="1:12">
      <c r="A280" s="268">
        <f t="shared" si="4"/>
        <v>45615.840324074074</v>
      </c>
      <c r="B280" s="266"/>
      <c r="C280" s="267" t="e">
        <f>HLOOKUP(A280,'Courbe In'!$AA$2:$CD$3,2)</f>
        <v>#VALUE!</v>
      </c>
      <c r="D280" s="267" t="e">
        <f ca="1">HLOOKUP(A280,'Courbe In'!$AA$2:$CD$7,5)</f>
        <v>#VALUE!</v>
      </c>
      <c r="E280" s="267" t="e">
        <f>HLOOKUP(A280,'Courbe In'!$AA$2:$CD$7,4)</f>
        <v>#VALUE!</v>
      </c>
      <c r="F280" s="267" t="e">
        <f ca="1">HLOOKUP(A280,'Courbe In'!$AA$2:$CD$7,6)</f>
        <v>#VALUE!</v>
      </c>
      <c r="G280" s="267" t="e">
        <f>HLOOKUP(A280,'Courbe In'!$AA$2:$CD$8,7)</f>
        <v>#VALUE!</v>
      </c>
      <c r="H280" s="267" t="e">
        <f>HLOOKUP(A280,'Courbe In'!$AA$2:$CD$9,8)</f>
        <v>#VALUE!</v>
      </c>
      <c r="I280" s="266"/>
      <c r="J280" s="327"/>
      <c r="K280" s="268"/>
      <c r="L280" s="267"/>
    </row>
    <row r="281" spans="1:12">
      <c r="A281" s="268">
        <f t="shared" si="4"/>
        <v>45616.840324074074</v>
      </c>
      <c r="B281" s="266"/>
      <c r="C281" s="267" t="e">
        <f>HLOOKUP(A281,'Courbe In'!$AA$2:$CD$3,2)</f>
        <v>#VALUE!</v>
      </c>
      <c r="D281" s="267" t="e">
        <f ca="1">HLOOKUP(A281,'Courbe In'!$AA$2:$CD$7,5)</f>
        <v>#VALUE!</v>
      </c>
      <c r="E281" s="267" t="e">
        <f>HLOOKUP(A281,'Courbe In'!$AA$2:$CD$7,4)</f>
        <v>#VALUE!</v>
      </c>
      <c r="F281" s="267" t="e">
        <f ca="1">HLOOKUP(A281,'Courbe In'!$AA$2:$CD$7,6)</f>
        <v>#VALUE!</v>
      </c>
      <c r="G281" s="267" t="e">
        <f>HLOOKUP(A281,'Courbe In'!$AA$2:$CD$8,7)</f>
        <v>#VALUE!</v>
      </c>
      <c r="H281" s="267" t="e">
        <f>HLOOKUP(A281,'Courbe In'!$AA$2:$CD$9,8)</f>
        <v>#VALUE!</v>
      </c>
      <c r="I281" s="266"/>
      <c r="J281" s="327"/>
      <c r="K281" s="268"/>
      <c r="L281" s="267"/>
    </row>
    <row r="282" spans="1:12">
      <c r="A282" s="268">
        <f t="shared" si="4"/>
        <v>45617.840324074074</v>
      </c>
      <c r="B282" s="266"/>
      <c r="C282" s="267" t="e">
        <f>HLOOKUP(A282,'Courbe In'!$AA$2:$CD$3,2)</f>
        <v>#VALUE!</v>
      </c>
      <c r="D282" s="267" t="e">
        <f ca="1">HLOOKUP(A282,'Courbe In'!$AA$2:$CD$7,5)</f>
        <v>#VALUE!</v>
      </c>
      <c r="E282" s="267" t="e">
        <f>HLOOKUP(A282,'Courbe In'!$AA$2:$CD$7,4)</f>
        <v>#VALUE!</v>
      </c>
      <c r="F282" s="267" t="e">
        <f ca="1">HLOOKUP(A282,'Courbe In'!$AA$2:$CD$7,6)</f>
        <v>#VALUE!</v>
      </c>
      <c r="G282" s="267" t="e">
        <f>HLOOKUP(A282,'Courbe In'!$AA$2:$CD$8,7)</f>
        <v>#VALUE!</v>
      </c>
      <c r="H282" s="267" t="e">
        <f>HLOOKUP(A282,'Courbe In'!$AA$2:$CD$9,8)</f>
        <v>#VALUE!</v>
      </c>
      <c r="I282" s="266"/>
      <c r="J282" s="327"/>
      <c r="K282" s="268"/>
      <c r="L282" s="267"/>
    </row>
    <row r="283" spans="1:12">
      <c r="A283" s="268">
        <f t="shared" si="4"/>
        <v>45618.840324074074</v>
      </c>
      <c r="B283" s="266"/>
      <c r="C283" s="267" t="e">
        <f>HLOOKUP(A283,'Courbe In'!$AA$2:$CD$3,2)</f>
        <v>#VALUE!</v>
      </c>
      <c r="D283" s="267" t="e">
        <f ca="1">HLOOKUP(A283,'Courbe In'!$AA$2:$CD$7,5)</f>
        <v>#VALUE!</v>
      </c>
      <c r="E283" s="267" t="e">
        <f>HLOOKUP(A283,'Courbe In'!$AA$2:$CD$7,4)</f>
        <v>#VALUE!</v>
      </c>
      <c r="F283" s="267" t="e">
        <f ca="1">HLOOKUP(A283,'Courbe In'!$AA$2:$CD$7,6)</f>
        <v>#VALUE!</v>
      </c>
      <c r="G283" s="267" t="e">
        <f>HLOOKUP(A283,'Courbe In'!$AA$2:$CD$8,7)</f>
        <v>#VALUE!</v>
      </c>
      <c r="H283" s="267" t="e">
        <f>HLOOKUP(A283,'Courbe In'!$AA$2:$CD$9,8)</f>
        <v>#VALUE!</v>
      </c>
      <c r="I283" s="266"/>
      <c r="J283" s="327"/>
      <c r="K283" s="268"/>
      <c r="L283" s="267"/>
    </row>
    <row r="284" spans="1:12">
      <c r="A284" s="268">
        <f t="shared" si="4"/>
        <v>45619.840324074074</v>
      </c>
      <c r="B284" s="266"/>
      <c r="C284" s="267" t="e">
        <f>HLOOKUP(A284,'Courbe In'!$AA$2:$CD$3,2)</f>
        <v>#VALUE!</v>
      </c>
      <c r="D284" s="267" t="e">
        <f ca="1">HLOOKUP(A284,'Courbe In'!$AA$2:$CD$7,5)</f>
        <v>#VALUE!</v>
      </c>
      <c r="E284" s="267" t="e">
        <f>HLOOKUP(A284,'Courbe In'!$AA$2:$CD$7,4)</f>
        <v>#VALUE!</v>
      </c>
      <c r="F284" s="267" t="e">
        <f ca="1">HLOOKUP(A284,'Courbe In'!$AA$2:$CD$7,6)</f>
        <v>#VALUE!</v>
      </c>
      <c r="G284" s="267" t="e">
        <f>HLOOKUP(A284,'Courbe In'!$AA$2:$CD$8,7)</f>
        <v>#VALUE!</v>
      </c>
      <c r="H284" s="267" t="e">
        <f>HLOOKUP(A284,'Courbe In'!$AA$2:$CD$9,8)</f>
        <v>#VALUE!</v>
      </c>
      <c r="I284" s="266"/>
      <c r="J284" s="327"/>
      <c r="K284" s="268"/>
      <c r="L284" s="267"/>
    </row>
    <row r="285" spans="1:12">
      <c r="A285" s="268">
        <f t="shared" si="4"/>
        <v>45620.840324074074</v>
      </c>
      <c r="B285" s="266"/>
      <c r="C285" s="267" t="e">
        <f>HLOOKUP(A285,'Courbe In'!$AA$2:$CD$3,2)</f>
        <v>#VALUE!</v>
      </c>
      <c r="D285" s="267" t="e">
        <f ca="1">HLOOKUP(A285,'Courbe In'!$AA$2:$CD$7,5)</f>
        <v>#VALUE!</v>
      </c>
      <c r="E285" s="267" t="e">
        <f>HLOOKUP(A285,'Courbe In'!$AA$2:$CD$7,4)</f>
        <v>#VALUE!</v>
      </c>
      <c r="F285" s="267" t="e">
        <f ca="1">HLOOKUP(A285,'Courbe In'!$AA$2:$CD$7,6)</f>
        <v>#VALUE!</v>
      </c>
      <c r="G285" s="267" t="e">
        <f>HLOOKUP(A285,'Courbe In'!$AA$2:$CD$8,7)</f>
        <v>#VALUE!</v>
      </c>
      <c r="H285" s="267" t="e">
        <f>HLOOKUP(A285,'Courbe In'!$AA$2:$CD$9,8)</f>
        <v>#VALUE!</v>
      </c>
      <c r="I285" s="266"/>
      <c r="J285" s="327"/>
      <c r="K285" s="268"/>
      <c r="L285" s="267"/>
    </row>
    <row r="286" spans="1:12">
      <c r="A286" s="268">
        <f t="shared" si="4"/>
        <v>45621.840324074074</v>
      </c>
      <c r="B286" s="266"/>
      <c r="C286" s="267" t="e">
        <f>HLOOKUP(A286,'Courbe In'!$AA$2:$CD$3,2)</f>
        <v>#VALUE!</v>
      </c>
      <c r="D286" s="267" t="e">
        <f ca="1">HLOOKUP(A286,'Courbe In'!$AA$2:$CD$7,5)</f>
        <v>#VALUE!</v>
      </c>
      <c r="E286" s="267" t="e">
        <f>HLOOKUP(A286,'Courbe In'!$AA$2:$CD$7,4)</f>
        <v>#VALUE!</v>
      </c>
      <c r="F286" s="267" t="e">
        <f ca="1">HLOOKUP(A286,'Courbe In'!$AA$2:$CD$7,6)</f>
        <v>#VALUE!</v>
      </c>
      <c r="G286" s="267" t="e">
        <f>HLOOKUP(A286,'Courbe In'!$AA$2:$CD$8,7)</f>
        <v>#VALUE!</v>
      </c>
      <c r="H286" s="267" t="e">
        <f>HLOOKUP(A286,'Courbe In'!$AA$2:$CD$9,8)</f>
        <v>#VALUE!</v>
      </c>
      <c r="I286" s="266"/>
      <c r="J286" s="327"/>
      <c r="K286" s="268"/>
      <c r="L286" s="267"/>
    </row>
    <row r="287" spans="1:12">
      <c r="A287" s="268">
        <f t="shared" si="4"/>
        <v>45622.840324074074</v>
      </c>
      <c r="B287" s="266"/>
      <c r="C287" s="267" t="e">
        <f>HLOOKUP(A287,'Courbe In'!$AA$2:$CD$3,2)</f>
        <v>#VALUE!</v>
      </c>
      <c r="D287" s="267" t="e">
        <f ca="1">HLOOKUP(A287,'Courbe In'!$AA$2:$CD$7,5)</f>
        <v>#VALUE!</v>
      </c>
      <c r="E287" s="267" t="e">
        <f>HLOOKUP(A287,'Courbe In'!$AA$2:$CD$7,4)</f>
        <v>#VALUE!</v>
      </c>
      <c r="F287" s="267" t="e">
        <f ca="1">HLOOKUP(A287,'Courbe In'!$AA$2:$CD$7,6)</f>
        <v>#VALUE!</v>
      </c>
      <c r="G287" s="267" t="e">
        <f>HLOOKUP(A287,'Courbe In'!$AA$2:$CD$8,7)</f>
        <v>#VALUE!</v>
      </c>
      <c r="H287" s="267" t="e">
        <f>HLOOKUP(A287,'Courbe In'!$AA$2:$CD$9,8)</f>
        <v>#VALUE!</v>
      </c>
      <c r="I287" s="266"/>
      <c r="J287" s="327"/>
      <c r="K287" s="268"/>
      <c r="L287" s="267"/>
    </row>
    <row r="288" spans="1:12">
      <c r="A288" s="268">
        <f t="shared" si="4"/>
        <v>45623.840324074074</v>
      </c>
      <c r="B288" s="266"/>
      <c r="C288" s="267" t="e">
        <f>HLOOKUP(A288,'Courbe In'!$AA$2:$CD$3,2)</f>
        <v>#VALUE!</v>
      </c>
      <c r="D288" s="267" t="e">
        <f ca="1">HLOOKUP(A288,'Courbe In'!$AA$2:$CD$7,5)</f>
        <v>#VALUE!</v>
      </c>
      <c r="E288" s="267" t="e">
        <f>HLOOKUP(A288,'Courbe In'!$AA$2:$CD$7,4)</f>
        <v>#VALUE!</v>
      </c>
      <c r="F288" s="267" t="e">
        <f ca="1">HLOOKUP(A288,'Courbe In'!$AA$2:$CD$7,6)</f>
        <v>#VALUE!</v>
      </c>
      <c r="G288" s="267" t="e">
        <f>HLOOKUP(A288,'Courbe In'!$AA$2:$CD$8,7)</f>
        <v>#VALUE!</v>
      </c>
      <c r="H288" s="267" t="e">
        <f>HLOOKUP(A288,'Courbe In'!$AA$2:$CD$9,8)</f>
        <v>#VALUE!</v>
      </c>
      <c r="I288" s="266"/>
      <c r="J288" s="327"/>
      <c r="K288" s="268"/>
      <c r="L288" s="267"/>
    </row>
    <row r="289" spans="1:12">
      <c r="A289" s="268">
        <f t="shared" si="4"/>
        <v>45624.840324074074</v>
      </c>
      <c r="B289" s="266"/>
      <c r="C289" s="267" t="e">
        <f>HLOOKUP(A289,'Courbe In'!$AA$2:$CD$3,2)</f>
        <v>#VALUE!</v>
      </c>
      <c r="D289" s="267" t="e">
        <f ca="1">HLOOKUP(A289,'Courbe In'!$AA$2:$CD$7,5)</f>
        <v>#VALUE!</v>
      </c>
      <c r="E289" s="267" t="e">
        <f>HLOOKUP(A289,'Courbe In'!$AA$2:$CD$7,4)</f>
        <v>#VALUE!</v>
      </c>
      <c r="F289" s="267" t="e">
        <f ca="1">HLOOKUP(A289,'Courbe In'!$AA$2:$CD$7,6)</f>
        <v>#VALUE!</v>
      </c>
      <c r="G289" s="267" t="e">
        <f>HLOOKUP(A289,'Courbe In'!$AA$2:$CD$8,7)</f>
        <v>#VALUE!</v>
      </c>
      <c r="H289" s="267" t="e">
        <f>HLOOKUP(A289,'Courbe In'!$AA$2:$CD$9,8)</f>
        <v>#VALUE!</v>
      </c>
      <c r="I289" s="266"/>
      <c r="J289" s="327"/>
      <c r="K289" s="268"/>
      <c r="L289" s="267"/>
    </row>
    <row r="290" spans="1:12">
      <c r="A290" s="268">
        <f t="shared" si="4"/>
        <v>45625.840324074074</v>
      </c>
      <c r="B290" s="266"/>
      <c r="C290" s="267" t="e">
        <f>HLOOKUP(A290,'Courbe In'!$AA$2:$CD$3,2)</f>
        <v>#VALUE!</v>
      </c>
      <c r="D290" s="267" t="e">
        <f ca="1">HLOOKUP(A290,'Courbe In'!$AA$2:$CD$7,5)</f>
        <v>#VALUE!</v>
      </c>
      <c r="E290" s="267" t="e">
        <f>HLOOKUP(A290,'Courbe In'!$AA$2:$CD$7,4)</f>
        <v>#VALUE!</v>
      </c>
      <c r="F290" s="267" t="e">
        <f ca="1">HLOOKUP(A290,'Courbe In'!$AA$2:$CD$7,6)</f>
        <v>#VALUE!</v>
      </c>
      <c r="G290" s="267" t="e">
        <f>HLOOKUP(A290,'Courbe In'!$AA$2:$CD$8,7)</f>
        <v>#VALUE!</v>
      </c>
      <c r="H290" s="267" t="e">
        <f>HLOOKUP(A290,'Courbe In'!$AA$2:$CD$9,8)</f>
        <v>#VALUE!</v>
      </c>
      <c r="I290" s="266"/>
      <c r="J290" s="327"/>
      <c r="K290" s="268"/>
      <c r="L290" s="267"/>
    </row>
    <row r="291" spans="1:12">
      <c r="A291" s="268">
        <f t="shared" si="4"/>
        <v>45626.840324074074</v>
      </c>
      <c r="B291" s="266"/>
      <c r="C291" s="267" t="e">
        <f>HLOOKUP(A291,'Courbe In'!$AA$2:$CD$3,2)</f>
        <v>#VALUE!</v>
      </c>
      <c r="D291" s="267" t="e">
        <f ca="1">HLOOKUP(A291,'Courbe In'!$AA$2:$CD$7,5)</f>
        <v>#VALUE!</v>
      </c>
      <c r="E291" s="267" t="e">
        <f>HLOOKUP(A291,'Courbe In'!$AA$2:$CD$7,4)</f>
        <v>#VALUE!</v>
      </c>
      <c r="F291" s="267" t="e">
        <f ca="1">HLOOKUP(A291,'Courbe In'!$AA$2:$CD$7,6)</f>
        <v>#VALUE!</v>
      </c>
      <c r="G291" s="267" t="e">
        <f>HLOOKUP(A291,'Courbe In'!$AA$2:$CD$8,7)</f>
        <v>#VALUE!</v>
      </c>
      <c r="H291" s="267" t="e">
        <f>HLOOKUP(A291,'Courbe In'!$AA$2:$CD$9,8)</f>
        <v>#VALUE!</v>
      </c>
      <c r="I291" s="266"/>
      <c r="J291" s="327"/>
      <c r="K291" s="268"/>
      <c r="L291" s="267"/>
    </row>
    <row r="292" spans="1:12">
      <c r="A292" s="268">
        <f t="shared" si="4"/>
        <v>45627.840324074074</v>
      </c>
      <c r="B292" s="266"/>
      <c r="C292" s="267" t="e">
        <f>HLOOKUP(A292,'Courbe In'!$AA$2:$CD$3,2)</f>
        <v>#VALUE!</v>
      </c>
      <c r="D292" s="267" t="e">
        <f ca="1">HLOOKUP(A292,'Courbe In'!$AA$2:$CD$7,5)</f>
        <v>#VALUE!</v>
      </c>
      <c r="E292" s="267" t="e">
        <f>HLOOKUP(A292,'Courbe In'!$AA$2:$CD$7,4)</f>
        <v>#VALUE!</v>
      </c>
      <c r="F292" s="267" t="e">
        <f ca="1">HLOOKUP(A292,'Courbe In'!$AA$2:$CD$7,6)</f>
        <v>#VALUE!</v>
      </c>
      <c r="G292" s="267" t="e">
        <f>HLOOKUP(A292,'Courbe In'!$AA$2:$CD$8,7)</f>
        <v>#VALUE!</v>
      </c>
      <c r="H292" s="267" t="e">
        <f>HLOOKUP(A292,'Courbe In'!$AA$2:$CD$9,8)</f>
        <v>#VALUE!</v>
      </c>
      <c r="I292" s="266"/>
      <c r="J292" s="327"/>
      <c r="K292" s="268"/>
      <c r="L292" s="267"/>
    </row>
    <row r="293" spans="1:12">
      <c r="A293" s="268">
        <f t="shared" si="4"/>
        <v>45628.840324074074</v>
      </c>
      <c r="B293" s="266"/>
      <c r="C293" s="267" t="e">
        <f>HLOOKUP(A293,'Courbe In'!$AA$2:$CD$3,2)</f>
        <v>#VALUE!</v>
      </c>
      <c r="D293" s="267" t="e">
        <f ca="1">HLOOKUP(A293,'Courbe In'!$AA$2:$CD$7,5)</f>
        <v>#VALUE!</v>
      </c>
      <c r="E293" s="267" t="e">
        <f>HLOOKUP(A293,'Courbe In'!$AA$2:$CD$7,4)</f>
        <v>#VALUE!</v>
      </c>
      <c r="F293" s="267" t="e">
        <f ca="1">HLOOKUP(A293,'Courbe In'!$AA$2:$CD$7,6)</f>
        <v>#VALUE!</v>
      </c>
      <c r="G293" s="267" t="e">
        <f>HLOOKUP(A293,'Courbe In'!$AA$2:$CD$8,7)</f>
        <v>#VALUE!</v>
      </c>
      <c r="H293" s="267" t="e">
        <f>HLOOKUP(A293,'Courbe In'!$AA$2:$CD$9,8)</f>
        <v>#VALUE!</v>
      </c>
      <c r="I293" s="266"/>
      <c r="J293" s="327"/>
      <c r="K293" s="268"/>
      <c r="L293" s="267"/>
    </row>
    <row r="294" spans="1:12">
      <c r="A294" s="268">
        <f t="shared" si="4"/>
        <v>45629.840324074074</v>
      </c>
      <c r="B294" s="266"/>
      <c r="C294" s="267" t="e">
        <f>HLOOKUP(A294,'Courbe In'!$AA$2:$CD$3,2)</f>
        <v>#VALUE!</v>
      </c>
      <c r="D294" s="267" t="e">
        <f ca="1">HLOOKUP(A294,'Courbe In'!$AA$2:$CD$7,5)</f>
        <v>#VALUE!</v>
      </c>
      <c r="E294" s="267" t="e">
        <f>HLOOKUP(A294,'Courbe In'!$AA$2:$CD$7,4)</f>
        <v>#VALUE!</v>
      </c>
      <c r="F294" s="267" t="e">
        <f ca="1">HLOOKUP(A294,'Courbe In'!$AA$2:$CD$7,6)</f>
        <v>#VALUE!</v>
      </c>
      <c r="G294" s="267" t="e">
        <f>HLOOKUP(A294,'Courbe In'!$AA$2:$CD$8,7)</f>
        <v>#VALUE!</v>
      </c>
      <c r="H294" s="267" t="e">
        <f>HLOOKUP(A294,'Courbe In'!$AA$2:$CD$9,8)</f>
        <v>#VALUE!</v>
      </c>
      <c r="I294" s="266"/>
      <c r="J294" s="327"/>
      <c r="K294" s="268"/>
      <c r="L294" s="267"/>
    </row>
    <row r="295" spans="1:12">
      <c r="A295" s="268">
        <f t="shared" si="4"/>
        <v>45630.840324074074</v>
      </c>
      <c r="B295" s="266"/>
      <c r="C295" s="267" t="e">
        <f>HLOOKUP(A295,'Courbe In'!$AA$2:$CD$3,2)</f>
        <v>#VALUE!</v>
      </c>
      <c r="D295" s="267" t="e">
        <f ca="1">HLOOKUP(A295,'Courbe In'!$AA$2:$CD$7,5)</f>
        <v>#VALUE!</v>
      </c>
      <c r="E295" s="267" t="e">
        <f>HLOOKUP(A295,'Courbe In'!$AA$2:$CD$7,4)</f>
        <v>#VALUE!</v>
      </c>
      <c r="F295" s="267" t="e">
        <f ca="1">HLOOKUP(A295,'Courbe In'!$AA$2:$CD$7,6)</f>
        <v>#VALUE!</v>
      </c>
      <c r="G295" s="267" t="e">
        <f>HLOOKUP(A295,'Courbe In'!$AA$2:$CD$8,7)</f>
        <v>#VALUE!</v>
      </c>
      <c r="H295" s="267" t="e">
        <f>HLOOKUP(A295,'Courbe In'!$AA$2:$CD$9,8)</f>
        <v>#VALUE!</v>
      </c>
      <c r="I295" s="266"/>
      <c r="J295" s="327"/>
      <c r="K295" s="268"/>
      <c r="L295" s="267"/>
    </row>
    <row r="296" spans="1:12">
      <c r="A296" s="268">
        <f t="shared" si="4"/>
        <v>45631.840324074074</v>
      </c>
      <c r="B296" s="266"/>
      <c r="C296" s="267" t="e">
        <f>HLOOKUP(A296,'Courbe In'!$AA$2:$CD$3,2)</f>
        <v>#VALUE!</v>
      </c>
      <c r="D296" s="267" t="e">
        <f ca="1">HLOOKUP(A296,'Courbe In'!$AA$2:$CD$7,5)</f>
        <v>#VALUE!</v>
      </c>
      <c r="E296" s="267" t="e">
        <f>HLOOKUP(A296,'Courbe In'!$AA$2:$CD$7,4)</f>
        <v>#VALUE!</v>
      </c>
      <c r="F296" s="267" t="e">
        <f ca="1">HLOOKUP(A296,'Courbe In'!$AA$2:$CD$7,6)</f>
        <v>#VALUE!</v>
      </c>
      <c r="G296" s="267" t="e">
        <f>HLOOKUP(A296,'Courbe In'!$AA$2:$CD$8,7)</f>
        <v>#VALUE!</v>
      </c>
      <c r="H296" s="267" t="e">
        <f>HLOOKUP(A296,'Courbe In'!$AA$2:$CD$9,8)</f>
        <v>#VALUE!</v>
      </c>
      <c r="I296" s="266"/>
      <c r="J296" s="327"/>
      <c r="K296" s="268"/>
      <c r="L296" s="267"/>
    </row>
    <row r="297" spans="1:12">
      <c r="A297" s="268">
        <f t="shared" si="4"/>
        <v>45632.840324074074</v>
      </c>
      <c r="B297" s="266"/>
      <c r="C297" s="267" t="e">
        <f>HLOOKUP(A297,'Courbe In'!$AA$2:$CD$3,2)</f>
        <v>#VALUE!</v>
      </c>
      <c r="D297" s="267" t="e">
        <f ca="1">HLOOKUP(A297,'Courbe In'!$AA$2:$CD$7,5)</f>
        <v>#VALUE!</v>
      </c>
      <c r="E297" s="267" t="e">
        <f>HLOOKUP(A297,'Courbe In'!$AA$2:$CD$7,4)</f>
        <v>#VALUE!</v>
      </c>
      <c r="F297" s="267" t="e">
        <f ca="1">HLOOKUP(A297,'Courbe In'!$AA$2:$CD$7,6)</f>
        <v>#VALUE!</v>
      </c>
      <c r="G297" s="267" t="e">
        <f>HLOOKUP(A297,'Courbe In'!$AA$2:$CD$8,7)</f>
        <v>#VALUE!</v>
      </c>
      <c r="H297" s="267" t="e">
        <f>HLOOKUP(A297,'Courbe In'!$AA$2:$CD$9,8)</f>
        <v>#VALUE!</v>
      </c>
      <c r="I297" s="266"/>
      <c r="J297" s="327"/>
      <c r="K297" s="268"/>
      <c r="L297" s="267"/>
    </row>
    <row r="298" spans="1:12">
      <c r="A298" s="268">
        <f t="shared" si="4"/>
        <v>45633.840324074074</v>
      </c>
      <c r="B298" s="266"/>
      <c r="C298" s="267" t="e">
        <f>HLOOKUP(A298,'Courbe In'!$AA$2:$CD$3,2)</f>
        <v>#VALUE!</v>
      </c>
      <c r="D298" s="267" t="e">
        <f ca="1">HLOOKUP(A298,'Courbe In'!$AA$2:$CD$7,5)</f>
        <v>#VALUE!</v>
      </c>
      <c r="E298" s="267" t="e">
        <f>HLOOKUP(A298,'Courbe In'!$AA$2:$CD$7,4)</f>
        <v>#VALUE!</v>
      </c>
      <c r="F298" s="267" t="e">
        <f ca="1">HLOOKUP(A298,'Courbe In'!$AA$2:$CD$7,6)</f>
        <v>#VALUE!</v>
      </c>
      <c r="G298" s="267" t="e">
        <f>HLOOKUP(A298,'Courbe In'!$AA$2:$CD$8,7)</f>
        <v>#VALUE!</v>
      </c>
      <c r="H298" s="267" t="e">
        <f>HLOOKUP(A298,'Courbe In'!$AA$2:$CD$9,8)</f>
        <v>#VALUE!</v>
      </c>
      <c r="I298" s="266"/>
      <c r="J298" s="327"/>
      <c r="K298" s="268"/>
      <c r="L298" s="267"/>
    </row>
    <row r="299" spans="1:12">
      <c r="A299" s="268">
        <f t="shared" si="4"/>
        <v>45634.840324074074</v>
      </c>
      <c r="B299" s="266"/>
      <c r="C299" s="267" t="e">
        <f>HLOOKUP(A299,'Courbe In'!$AA$2:$CD$3,2)</f>
        <v>#VALUE!</v>
      </c>
      <c r="D299" s="267" t="e">
        <f ca="1">HLOOKUP(A299,'Courbe In'!$AA$2:$CD$7,5)</f>
        <v>#VALUE!</v>
      </c>
      <c r="E299" s="267" t="e">
        <f>HLOOKUP(A299,'Courbe In'!$AA$2:$CD$7,4)</f>
        <v>#VALUE!</v>
      </c>
      <c r="F299" s="267" t="e">
        <f ca="1">HLOOKUP(A299,'Courbe In'!$AA$2:$CD$7,6)</f>
        <v>#VALUE!</v>
      </c>
      <c r="G299" s="267" t="e">
        <f>HLOOKUP(A299,'Courbe In'!$AA$2:$CD$8,7)</f>
        <v>#VALUE!</v>
      </c>
      <c r="H299" s="267" t="e">
        <f>HLOOKUP(A299,'Courbe In'!$AA$2:$CD$9,8)</f>
        <v>#VALUE!</v>
      </c>
      <c r="I299" s="266"/>
      <c r="J299" s="327"/>
      <c r="K299" s="268"/>
      <c r="L299" s="267"/>
    </row>
    <row r="300" spans="1:12">
      <c r="A300" s="268">
        <f t="shared" si="4"/>
        <v>45635.840324074074</v>
      </c>
      <c r="B300" s="266"/>
      <c r="C300" s="267" t="e">
        <f>HLOOKUP(A300,'Courbe In'!$AA$2:$CD$3,2)</f>
        <v>#VALUE!</v>
      </c>
      <c r="D300" s="267" t="e">
        <f ca="1">HLOOKUP(A300,'Courbe In'!$AA$2:$CD$7,5)</f>
        <v>#VALUE!</v>
      </c>
      <c r="E300" s="267" t="e">
        <f>HLOOKUP(A300,'Courbe In'!$AA$2:$CD$7,4)</f>
        <v>#VALUE!</v>
      </c>
      <c r="F300" s="267" t="e">
        <f ca="1">HLOOKUP(A300,'Courbe In'!$AA$2:$CD$7,6)</f>
        <v>#VALUE!</v>
      </c>
      <c r="G300" s="267" t="e">
        <f>HLOOKUP(A300,'Courbe In'!$AA$2:$CD$8,7)</f>
        <v>#VALUE!</v>
      </c>
      <c r="H300" s="267" t="e">
        <f>HLOOKUP(A300,'Courbe In'!$AA$2:$CD$9,8)</f>
        <v>#VALUE!</v>
      </c>
      <c r="I300" s="266"/>
      <c r="J300" s="327"/>
      <c r="K300" s="268"/>
      <c r="L300" s="267"/>
    </row>
    <row r="301" spans="1:12">
      <c r="A301" s="268">
        <f t="shared" si="4"/>
        <v>45636.840324074074</v>
      </c>
      <c r="B301" s="266"/>
      <c r="C301" s="267" t="e">
        <f>HLOOKUP(A301,'Courbe In'!$AA$2:$CD$3,2)</f>
        <v>#VALUE!</v>
      </c>
      <c r="D301" s="267" t="e">
        <f ca="1">HLOOKUP(A301,'Courbe In'!$AA$2:$CD$7,5)</f>
        <v>#VALUE!</v>
      </c>
      <c r="E301" s="267" t="e">
        <f>HLOOKUP(A301,'Courbe In'!$AA$2:$CD$7,4)</f>
        <v>#VALUE!</v>
      </c>
      <c r="F301" s="267" t="e">
        <f ca="1">HLOOKUP(A301,'Courbe In'!$AA$2:$CD$7,6)</f>
        <v>#VALUE!</v>
      </c>
      <c r="G301" s="267" t="e">
        <f>HLOOKUP(A301,'Courbe In'!$AA$2:$CD$8,7)</f>
        <v>#VALUE!</v>
      </c>
      <c r="H301" s="267" t="e">
        <f>HLOOKUP(A301,'Courbe In'!$AA$2:$CD$9,8)</f>
        <v>#VALUE!</v>
      </c>
      <c r="I301" s="266"/>
      <c r="J301" s="327"/>
      <c r="K301" s="268"/>
      <c r="L301" s="267"/>
    </row>
    <row r="302" spans="1:12">
      <c r="A302" s="268">
        <f t="shared" si="4"/>
        <v>45637.840324074074</v>
      </c>
      <c r="B302" s="266"/>
      <c r="C302" s="267" t="e">
        <f>HLOOKUP(A302,'Courbe In'!$AA$2:$CD$3,2)</f>
        <v>#VALUE!</v>
      </c>
      <c r="D302" s="267" t="e">
        <f ca="1">HLOOKUP(A302,'Courbe In'!$AA$2:$CD$7,5)</f>
        <v>#VALUE!</v>
      </c>
      <c r="E302" s="267" t="e">
        <f>HLOOKUP(A302,'Courbe In'!$AA$2:$CD$7,4)</f>
        <v>#VALUE!</v>
      </c>
      <c r="F302" s="267" t="e">
        <f ca="1">HLOOKUP(A302,'Courbe In'!$AA$2:$CD$7,6)</f>
        <v>#VALUE!</v>
      </c>
      <c r="G302" s="267" t="e">
        <f>HLOOKUP(A302,'Courbe In'!$AA$2:$CD$8,7)</f>
        <v>#VALUE!</v>
      </c>
      <c r="H302" s="267" t="e">
        <f>HLOOKUP(A302,'Courbe In'!$AA$2:$CD$9,8)</f>
        <v>#VALUE!</v>
      </c>
      <c r="I302" s="266"/>
      <c r="J302" s="327"/>
      <c r="K302" s="268"/>
      <c r="L302" s="267"/>
    </row>
    <row r="303" spans="1:12">
      <c r="A303" s="268">
        <f t="shared" si="4"/>
        <v>45638.840324074074</v>
      </c>
      <c r="B303" s="266"/>
      <c r="C303" s="267" t="e">
        <f>HLOOKUP(A303,'Courbe In'!$AA$2:$CD$3,2)</f>
        <v>#VALUE!</v>
      </c>
      <c r="D303" s="267" t="e">
        <f ca="1">HLOOKUP(A303,'Courbe In'!$AA$2:$CD$7,5)</f>
        <v>#VALUE!</v>
      </c>
      <c r="E303" s="267" t="e">
        <f>HLOOKUP(A303,'Courbe In'!$AA$2:$CD$7,4)</f>
        <v>#VALUE!</v>
      </c>
      <c r="F303" s="267" t="e">
        <f ca="1">HLOOKUP(A303,'Courbe In'!$AA$2:$CD$7,6)</f>
        <v>#VALUE!</v>
      </c>
      <c r="G303" s="267" t="e">
        <f>HLOOKUP(A303,'Courbe In'!$AA$2:$CD$8,7)</f>
        <v>#VALUE!</v>
      </c>
      <c r="H303" s="267" t="e">
        <f>HLOOKUP(A303,'Courbe In'!$AA$2:$CD$9,8)</f>
        <v>#VALUE!</v>
      </c>
      <c r="I303" s="266"/>
      <c r="J303" s="327"/>
      <c r="K303" s="268"/>
      <c r="L303" s="267"/>
    </row>
    <row r="304" spans="1:12">
      <c r="A304" s="268">
        <f t="shared" si="4"/>
        <v>45639.840324074074</v>
      </c>
      <c r="B304" s="266"/>
      <c r="C304" s="267" t="e">
        <f>HLOOKUP(A304,'Courbe In'!$AA$2:$CD$3,2)</f>
        <v>#VALUE!</v>
      </c>
      <c r="D304" s="267" t="e">
        <f ca="1">HLOOKUP(A304,'Courbe In'!$AA$2:$CD$7,5)</f>
        <v>#VALUE!</v>
      </c>
      <c r="E304" s="267" t="e">
        <f>HLOOKUP(A304,'Courbe In'!$AA$2:$CD$7,4)</f>
        <v>#VALUE!</v>
      </c>
      <c r="F304" s="267" t="e">
        <f ca="1">HLOOKUP(A304,'Courbe In'!$AA$2:$CD$7,6)</f>
        <v>#VALUE!</v>
      </c>
      <c r="G304" s="267" t="e">
        <f>HLOOKUP(A304,'Courbe In'!$AA$2:$CD$8,7)</f>
        <v>#VALUE!</v>
      </c>
      <c r="H304" s="267" t="e">
        <f>HLOOKUP(A304,'Courbe In'!$AA$2:$CD$9,8)</f>
        <v>#VALUE!</v>
      </c>
      <c r="I304" s="266"/>
      <c r="J304" s="327"/>
      <c r="K304" s="268"/>
      <c r="L304" s="267"/>
    </row>
    <row r="305" spans="1:12">
      <c r="A305" s="268">
        <f t="shared" si="4"/>
        <v>45640.840324074074</v>
      </c>
      <c r="B305" s="266"/>
      <c r="C305" s="267" t="e">
        <f>HLOOKUP(A305,'Courbe In'!$AA$2:$CD$3,2)</f>
        <v>#VALUE!</v>
      </c>
      <c r="D305" s="267" t="e">
        <f ca="1">HLOOKUP(A305,'Courbe In'!$AA$2:$CD$7,5)</f>
        <v>#VALUE!</v>
      </c>
      <c r="E305" s="267" t="e">
        <f>HLOOKUP(A305,'Courbe In'!$AA$2:$CD$7,4)</f>
        <v>#VALUE!</v>
      </c>
      <c r="F305" s="267" t="e">
        <f ca="1">HLOOKUP(A305,'Courbe In'!$AA$2:$CD$7,6)</f>
        <v>#VALUE!</v>
      </c>
      <c r="G305" s="267" t="e">
        <f>HLOOKUP(A305,'Courbe In'!$AA$2:$CD$8,7)</f>
        <v>#VALUE!</v>
      </c>
      <c r="H305" s="267" t="e">
        <f>HLOOKUP(A305,'Courbe In'!$AA$2:$CD$9,8)</f>
        <v>#VALUE!</v>
      </c>
      <c r="I305" s="266"/>
      <c r="J305" s="327"/>
      <c r="K305" s="268"/>
      <c r="L305" s="267"/>
    </row>
    <row r="306" spans="1:12">
      <c r="A306" s="268">
        <f t="shared" si="4"/>
        <v>45641.840324074074</v>
      </c>
      <c r="B306" s="266"/>
      <c r="C306" s="267" t="e">
        <f>HLOOKUP(A306,'Courbe In'!$AA$2:$CD$3,2)</f>
        <v>#VALUE!</v>
      </c>
      <c r="D306" s="267" t="e">
        <f ca="1">HLOOKUP(A306,'Courbe In'!$AA$2:$CD$7,5)</f>
        <v>#VALUE!</v>
      </c>
      <c r="E306" s="267" t="e">
        <f>HLOOKUP(A306,'Courbe In'!$AA$2:$CD$7,4)</f>
        <v>#VALUE!</v>
      </c>
      <c r="F306" s="267" t="e">
        <f ca="1">HLOOKUP(A306,'Courbe In'!$AA$2:$CD$7,6)</f>
        <v>#VALUE!</v>
      </c>
      <c r="G306" s="267" t="e">
        <f>HLOOKUP(A306,'Courbe In'!$AA$2:$CD$8,7)</f>
        <v>#VALUE!</v>
      </c>
      <c r="H306" s="267" t="e">
        <f>HLOOKUP(A306,'Courbe In'!$AA$2:$CD$9,8)</f>
        <v>#VALUE!</v>
      </c>
      <c r="I306" s="266"/>
      <c r="J306" s="327"/>
      <c r="K306" s="268"/>
      <c r="L306" s="267"/>
    </row>
    <row r="307" spans="1:12">
      <c r="A307" s="268">
        <f t="shared" si="4"/>
        <v>45642.840324074074</v>
      </c>
      <c r="B307" s="266"/>
      <c r="C307" s="267" t="e">
        <f>HLOOKUP(A307,'Courbe In'!$AA$2:$CD$3,2)</f>
        <v>#VALUE!</v>
      </c>
      <c r="D307" s="267" t="e">
        <f ca="1">HLOOKUP(A307,'Courbe In'!$AA$2:$CD$7,5)</f>
        <v>#VALUE!</v>
      </c>
      <c r="E307" s="267" t="e">
        <f>HLOOKUP(A307,'Courbe In'!$AA$2:$CD$7,4)</f>
        <v>#VALUE!</v>
      </c>
      <c r="F307" s="267" t="e">
        <f ca="1">HLOOKUP(A307,'Courbe In'!$AA$2:$CD$7,6)</f>
        <v>#VALUE!</v>
      </c>
      <c r="G307" s="267" t="e">
        <f>HLOOKUP(A307,'Courbe In'!$AA$2:$CD$8,7)</f>
        <v>#VALUE!</v>
      </c>
      <c r="H307" s="267" t="e">
        <f>HLOOKUP(A307,'Courbe In'!$AA$2:$CD$9,8)</f>
        <v>#VALUE!</v>
      </c>
      <c r="I307" s="266"/>
      <c r="J307" s="327"/>
      <c r="K307" s="268"/>
      <c r="L307" s="267"/>
    </row>
    <row r="308" spans="1:12">
      <c r="A308" s="268">
        <f t="shared" si="4"/>
        <v>45643.840324074074</v>
      </c>
      <c r="B308" s="266"/>
      <c r="C308" s="267" t="e">
        <f>HLOOKUP(A308,'Courbe In'!$AA$2:$CD$3,2)</f>
        <v>#VALUE!</v>
      </c>
      <c r="D308" s="267" t="e">
        <f ca="1">HLOOKUP(A308,'Courbe In'!$AA$2:$CD$7,5)</f>
        <v>#VALUE!</v>
      </c>
      <c r="E308" s="267" t="e">
        <f>HLOOKUP(A308,'Courbe In'!$AA$2:$CD$7,4)</f>
        <v>#VALUE!</v>
      </c>
      <c r="F308" s="267" t="e">
        <f ca="1">HLOOKUP(A308,'Courbe In'!$AA$2:$CD$7,6)</f>
        <v>#VALUE!</v>
      </c>
      <c r="G308" s="267" t="e">
        <f>HLOOKUP(A308,'Courbe In'!$AA$2:$CD$8,7)</f>
        <v>#VALUE!</v>
      </c>
      <c r="H308" s="267" t="e">
        <f>HLOOKUP(A308,'Courbe In'!$AA$2:$CD$9,8)</f>
        <v>#VALUE!</v>
      </c>
      <c r="I308" s="266"/>
      <c r="J308" s="327"/>
      <c r="K308" s="268"/>
      <c r="L308" s="267"/>
    </row>
    <row r="309" spans="1:12">
      <c r="A309" s="268">
        <f t="shared" si="4"/>
        <v>45644.840324074074</v>
      </c>
      <c r="B309" s="266"/>
      <c r="C309" s="267" t="e">
        <f>HLOOKUP(A309,'Courbe In'!$AA$2:$CD$3,2)</f>
        <v>#VALUE!</v>
      </c>
      <c r="D309" s="267" t="e">
        <f ca="1">HLOOKUP(A309,'Courbe In'!$AA$2:$CD$7,5)</f>
        <v>#VALUE!</v>
      </c>
      <c r="E309" s="267" t="e">
        <f>HLOOKUP(A309,'Courbe In'!$AA$2:$CD$7,4)</f>
        <v>#VALUE!</v>
      </c>
      <c r="F309" s="267" t="e">
        <f ca="1">HLOOKUP(A309,'Courbe In'!$AA$2:$CD$7,6)</f>
        <v>#VALUE!</v>
      </c>
      <c r="G309" s="267" t="e">
        <f>HLOOKUP(A309,'Courbe In'!$AA$2:$CD$8,7)</f>
        <v>#VALUE!</v>
      </c>
      <c r="H309" s="267" t="e">
        <f>HLOOKUP(A309,'Courbe In'!$AA$2:$CD$9,8)</f>
        <v>#VALUE!</v>
      </c>
      <c r="I309" s="266"/>
      <c r="J309" s="327"/>
      <c r="K309" s="268"/>
      <c r="L309" s="267"/>
    </row>
    <row r="310" spans="1:12">
      <c r="A310" s="268">
        <f t="shared" si="4"/>
        <v>45645.840324074074</v>
      </c>
      <c r="B310" s="266"/>
      <c r="C310" s="267" t="e">
        <f>HLOOKUP(A310,'Courbe In'!$AA$2:$CD$3,2)</f>
        <v>#VALUE!</v>
      </c>
      <c r="D310" s="267" t="e">
        <f ca="1">HLOOKUP(A310,'Courbe In'!$AA$2:$CD$7,5)</f>
        <v>#VALUE!</v>
      </c>
      <c r="E310" s="267" t="e">
        <f>HLOOKUP(A310,'Courbe In'!$AA$2:$CD$7,4)</f>
        <v>#VALUE!</v>
      </c>
      <c r="F310" s="267" t="e">
        <f ca="1">HLOOKUP(A310,'Courbe In'!$AA$2:$CD$7,6)</f>
        <v>#VALUE!</v>
      </c>
      <c r="G310" s="267" t="e">
        <f>HLOOKUP(A310,'Courbe In'!$AA$2:$CD$8,7)</f>
        <v>#VALUE!</v>
      </c>
      <c r="H310" s="267" t="e">
        <f>HLOOKUP(A310,'Courbe In'!$AA$2:$CD$9,8)</f>
        <v>#VALUE!</v>
      </c>
      <c r="I310" s="266"/>
      <c r="J310" s="327"/>
      <c r="K310" s="268"/>
      <c r="L310" s="267"/>
    </row>
    <row r="311" spans="1:12">
      <c r="A311" s="268">
        <f t="shared" si="4"/>
        <v>45646.840324074074</v>
      </c>
      <c r="B311" s="266"/>
      <c r="C311" s="267" t="e">
        <f>HLOOKUP(A311,'Courbe In'!$AA$2:$CD$3,2)</f>
        <v>#VALUE!</v>
      </c>
      <c r="D311" s="267" t="e">
        <f ca="1">HLOOKUP(A311,'Courbe In'!$AA$2:$CD$7,5)</f>
        <v>#VALUE!</v>
      </c>
      <c r="E311" s="267" t="e">
        <f>HLOOKUP(A311,'Courbe In'!$AA$2:$CD$7,4)</f>
        <v>#VALUE!</v>
      </c>
      <c r="F311" s="267" t="e">
        <f ca="1">HLOOKUP(A311,'Courbe In'!$AA$2:$CD$7,6)</f>
        <v>#VALUE!</v>
      </c>
      <c r="G311" s="267" t="e">
        <f>HLOOKUP(A311,'Courbe In'!$AA$2:$CD$8,7)</f>
        <v>#VALUE!</v>
      </c>
      <c r="H311" s="267" t="e">
        <f>HLOOKUP(A311,'Courbe In'!$AA$2:$CD$9,8)</f>
        <v>#VALUE!</v>
      </c>
      <c r="I311" s="266"/>
      <c r="J311" s="327"/>
      <c r="K311" s="268"/>
      <c r="L311" s="267"/>
    </row>
    <row r="312" spans="1:12">
      <c r="A312" s="268">
        <f t="shared" si="4"/>
        <v>45647.840324074074</v>
      </c>
      <c r="B312" s="266"/>
      <c r="C312" s="267" t="e">
        <f>HLOOKUP(A312,'Courbe In'!$AA$2:$CD$3,2)</f>
        <v>#VALUE!</v>
      </c>
      <c r="D312" s="267" t="e">
        <f ca="1">HLOOKUP(A312,'Courbe In'!$AA$2:$CD$7,5)</f>
        <v>#VALUE!</v>
      </c>
      <c r="E312" s="267" t="e">
        <f>HLOOKUP(A312,'Courbe In'!$AA$2:$CD$7,4)</f>
        <v>#VALUE!</v>
      </c>
      <c r="F312" s="267" t="e">
        <f ca="1">HLOOKUP(A312,'Courbe In'!$AA$2:$CD$7,6)</f>
        <v>#VALUE!</v>
      </c>
      <c r="G312" s="267" t="e">
        <f>HLOOKUP(A312,'Courbe In'!$AA$2:$CD$8,7)</f>
        <v>#VALUE!</v>
      </c>
      <c r="H312" s="267" t="e">
        <f>HLOOKUP(A312,'Courbe In'!$AA$2:$CD$9,8)</f>
        <v>#VALUE!</v>
      </c>
      <c r="I312" s="266"/>
      <c r="J312" s="327"/>
      <c r="K312" s="268"/>
      <c r="L312" s="267"/>
    </row>
    <row r="313" spans="1:12">
      <c r="A313" s="268">
        <f t="shared" si="4"/>
        <v>45648.840324074074</v>
      </c>
      <c r="B313" s="266"/>
      <c r="C313" s="267" t="e">
        <f>HLOOKUP(A313,'Courbe In'!$AA$2:$CD$3,2)</f>
        <v>#VALUE!</v>
      </c>
      <c r="D313" s="267" t="e">
        <f ca="1">HLOOKUP(A313,'Courbe In'!$AA$2:$CD$7,5)</f>
        <v>#VALUE!</v>
      </c>
      <c r="E313" s="267" t="e">
        <f>HLOOKUP(A313,'Courbe In'!$AA$2:$CD$7,4)</f>
        <v>#VALUE!</v>
      </c>
      <c r="F313" s="267" t="e">
        <f ca="1">HLOOKUP(A313,'Courbe In'!$AA$2:$CD$7,6)</f>
        <v>#VALUE!</v>
      </c>
      <c r="G313" s="267" t="e">
        <f>HLOOKUP(A313,'Courbe In'!$AA$2:$CD$8,7)</f>
        <v>#VALUE!</v>
      </c>
      <c r="H313" s="267" t="e">
        <f>HLOOKUP(A313,'Courbe In'!$AA$2:$CD$9,8)</f>
        <v>#VALUE!</v>
      </c>
      <c r="I313" s="266"/>
      <c r="J313" s="327"/>
      <c r="K313" s="268"/>
      <c r="L313" s="267"/>
    </row>
    <row r="314" spans="1:12">
      <c r="A314" s="268">
        <f t="shared" si="4"/>
        <v>45649.840324074074</v>
      </c>
      <c r="B314" s="266"/>
      <c r="C314" s="267" t="e">
        <f>HLOOKUP(A314,'Courbe In'!$AA$2:$CD$3,2)</f>
        <v>#VALUE!</v>
      </c>
      <c r="D314" s="267" t="e">
        <f ca="1">HLOOKUP(A314,'Courbe In'!$AA$2:$CD$7,5)</f>
        <v>#VALUE!</v>
      </c>
      <c r="E314" s="267" t="e">
        <f>HLOOKUP(A314,'Courbe In'!$AA$2:$CD$7,4)</f>
        <v>#VALUE!</v>
      </c>
      <c r="F314" s="267" t="e">
        <f ca="1">HLOOKUP(A314,'Courbe In'!$AA$2:$CD$7,6)</f>
        <v>#VALUE!</v>
      </c>
      <c r="G314" s="267" t="e">
        <f>HLOOKUP(A314,'Courbe In'!$AA$2:$CD$8,7)</f>
        <v>#VALUE!</v>
      </c>
      <c r="H314" s="267" t="e">
        <f>HLOOKUP(A314,'Courbe In'!$AA$2:$CD$9,8)</f>
        <v>#VALUE!</v>
      </c>
      <c r="I314" s="266"/>
      <c r="J314" s="327"/>
      <c r="K314" s="268"/>
      <c r="L314" s="267"/>
    </row>
    <row r="315" spans="1:12">
      <c r="A315" s="268">
        <f t="shared" si="4"/>
        <v>45650.840324074074</v>
      </c>
      <c r="B315" s="266"/>
      <c r="C315" s="267" t="e">
        <f>HLOOKUP(A315,'Courbe In'!$AA$2:$CD$3,2)</f>
        <v>#VALUE!</v>
      </c>
      <c r="D315" s="267" t="e">
        <f ca="1">HLOOKUP(A315,'Courbe In'!$AA$2:$CD$7,5)</f>
        <v>#VALUE!</v>
      </c>
      <c r="E315" s="267" t="e">
        <f>HLOOKUP(A315,'Courbe In'!$AA$2:$CD$7,4)</f>
        <v>#VALUE!</v>
      </c>
      <c r="F315" s="267" t="e">
        <f ca="1">HLOOKUP(A315,'Courbe In'!$AA$2:$CD$7,6)</f>
        <v>#VALUE!</v>
      </c>
      <c r="G315" s="267" t="e">
        <f>HLOOKUP(A315,'Courbe In'!$AA$2:$CD$8,7)</f>
        <v>#VALUE!</v>
      </c>
      <c r="H315" s="267" t="e">
        <f>HLOOKUP(A315,'Courbe In'!$AA$2:$CD$9,8)</f>
        <v>#VALUE!</v>
      </c>
      <c r="I315" s="266"/>
      <c r="J315" s="327"/>
      <c r="K315" s="268"/>
      <c r="L315" s="267"/>
    </row>
    <row r="316" spans="1:12">
      <c r="A316" s="268">
        <f t="shared" si="4"/>
        <v>45651.840324074074</v>
      </c>
      <c r="B316" s="266"/>
      <c r="C316" s="267" t="e">
        <f>HLOOKUP(A316,'Courbe In'!$AA$2:$CD$3,2)</f>
        <v>#VALUE!</v>
      </c>
      <c r="D316" s="267" t="e">
        <f ca="1">HLOOKUP(A316,'Courbe In'!$AA$2:$CD$7,5)</f>
        <v>#VALUE!</v>
      </c>
      <c r="E316" s="267" t="e">
        <f>HLOOKUP(A316,'Courbe In'!$AA$2:$CD$7,4)</f>
        <v>#VALUE!</v>
      </c>
      <c r="F316" s="267" t="e">
        <f ca="1">HLOOKUP(A316,'Courbe In'!$AA$2:$CD$7,6)</f>
        <v>#VALUE!</v>
      </c>
      <c r="G316" s="267" t="e">
        <f>HLOOKUP(A316,'Courbe In'!$AA$2:$CD$8,7)</f>
        <v>#VALUE!</v>
      </c>
      <c r="H316" s="267" t="e">
        <f>HLOOKUP(A316,'Courbe In'!$AA$2:$CD$9,8)</f>
        <v>#VALUE!</v>
      </c>
      <c r="I316" s="266"/>
      <c r="J316" s="327"/>
      <c r="K316" s="268"/>
      <c r="L316" s="267"/>
    </row>
    <row r="317" spans="1:12">
      <c r="A317" s="268">
        <f t="shared" si="4"/>
        <v>45652.840324074074</v>
      </c>
      <c r="B317" s="266"/>
      <c r="C317" s="267" t="e">
        <f>HLOOKUP(A317,'Courbe In'!$AA$2:$CD$3,2)</f>
        <v>#VALUE!</v>
      </c>
      <c r="D317" s="267" t="e">
        <f ca="1">HLOOKUP(A317,'Courbe In'!$AA$2:$CD$7,5)</f>
        <v>#VALUE!</v>
      </c>
      <c r="E317" s="267" t="e">
        <f>HLOOKUP(A317,'Courbe In'!$AA$2:$CD$7,4)</f>
        <v>#VALUE!</v>
      </c>
      <c r="F317" s="267" t="e">
        <f ca="1">HLOOKUP(A317,'Courbe In'!$AA$2:$CD$7,6)</f>
        <v>#VALUE!</v>
      </c>
      <c r="G317" s="267" t="e">
        <f>HLOOKUP(A317,'Courbe In'!$AA$2:$CD$8,7)</f>
        <v>#VALUE!</v>
      </c>
      <c r="H317" s="267" t="e">
        <f>HLOOKUP(A317,'Courbe In'!$AA$2:$CD$9,8)</f>
        <v>#VALUE!</v>
      </c>
      <c r="I317" s="266"/>
      <c r="J317" s="327"/>
      <c r="K317" s="268"/>
      <c r="L317" s="267"/>
    </row>
    <row r="318" spans="1:12">
      <c r="A318" s="268">
        <f t="shared" si="4"/>
        <v>45653.840324074074</v>
      </c>
      <c r="B318" s="266"/>
      <c r="C318" s="267" t="e">
        <f>HLOOKUP(A318,'Courbe In'!$AA$2:$CD$3,2)</f>
        <v>#VALUE!</v>
      </c>
      <c r="D318" s="267" t="e">
        <f ca="1">HLOOKUP(A318,'Courbe In'!$AA$2:$CD$7,5)</f>
        <v>#VALUE!</v>
      </c>
      <c r="E318" s="267" t="e">
        <f>HLOOKUP(A318,'Courbe In'!$AA$2:$CD$7,4)</f>
        <v>#VALUE!</v>
      </c>
      <c r="F318" s="267" t="e">
        <f ca="1">HLOOKUP(A318,'Courbe In'!$AA$2:$CD$7,6)</f>
        <v>#VALUE!</v>
      </c>
      <c r="G318" s="267" t="e">
        <f>HLOOKUP(A318,'Courbe In'!$AA$2:$CD$8,7)</f>
        <v>#VALUE!</v>
      </c>
      <c r="H318" s="267" t="e">
        <f>HLOOKUP(A318,'Courbe In'!$AA$2:$CD$9,8)</f>
        <v>#VALUE!</v>
      </c>
      <c r="I318" s="266"/>
      <c r="J318" s="327"/>
      <c r="K318" s="268"/>
      <c r="L318" s="267"/>
    </row>
    <row r="319" spans="1:12">
      <c r="A319" s="268">
        <f t="shared" si="4"/>
        <v>45654.840324074074</v>
      </c>
      <c r="B319" s="266"/>
      <c r="C319" s="267" t="e">
        <f>HLOOKUP(A319,'Courbe In'!$AA$2:$CD$3,2)</f>
        <v>#VALUE!</v>
      </c>
      <c r="D319" s="267" t="e">
        <f ca="1">HLOOKUP(A319,'Courbe In'!$AA$2:$CD$7,5)</f>
        <v>#VALUE!</v>
      </c>
      <c r="E319" s="267" t="e">
        <f>HLOOKUP(A319,'Courbe In'!$AA$2:$CD$7,4)</f>
        <v>#VALUE!</v>
      </c>
      <c r="F319" s="267" t="e">
        <f ca="1">HLOOKUP(A319,'Courbe In'!$AA$2:$CD$7,6)</f>
        <v>#VALUE!</v>
      </c>
      <c r="G319" s="267" t="e">
        <f>HLOOKUP(A319,'Courbe In'!$AA$2:$CD$8,7)</f>
        <v>#VALUE!</v>
      </c>
      <c r="H319" s="267" t="e">
        <f>HLOOKUP(A319,'Courbe In'!$AA$2:$CD$9,8)</f>
        <v>#VALUE!</v>
      </c>
      <c r="I319" s="266"/>
      <c r="J319" s="327"/>
      <c r="K319" s="268"/>
      <c r="L319" s="267"/>
    </row>
    <row r="320" spans="1:12">
      <c r="A320" s="268">
        <f t="shared" si="4"/>
        <v>45655.840324074074</v>
      </c>
      <c r="B320" s="266"/>
      <c r="C320" s="267" t="e">
        <f>HLOOKUP(A320,'Courbe In'!$AA$2:$CD$3,2)</f>
        <v>#VALUE!</v>
      </c>
      <c r="D320" s="267" t="e">
        <f ca="1">HLOOKUP(A320,'Courbe In'!$AA$2:$CD$7,5)</f>
        <v>#VALUE!</v>
      </c>
      <c r="E320" s="267" t="e">
        <f>HLOOKUP(A320,'Courbe In'!$AA$2:$CD$7,4)</f>
        <v>#VALUE!</v>
      </c>
      <c r="F320" s="267" t="e">
        <f ca="1">HLOOKUP(A320,'Courbe In'!$AA$2:$CD$7,6)</f>
        <v>#VALUE!</v>
      </c>
      <c r="G320" s="267" t="e">
        <f>HLOOKUP(A320,'Courbe In'!$AA$2:$CD$8,7)</f>
        <v>#VALUE!</v>
      </c>
      <c r="H320" s="267" t="e">
        <f>HLOOKUP(A320,'Courbe In'!$AA$2:$CD$9,8)</f>
        <v>#VALUE!</v>
      </c>
      <c r="I320" s="266"/>
      <c r="J320" s="327"/>
      <c r="K320" s="268"/>
      <c r="L320" s="267"/>
    </row>
    <row r="321" spans="1:12">
      <c r="A321" s="268">
        <f t="shared" si="4"/>
        <v>45656.840324074074</v>
      </c>
      <c r="B321" s="266"/>
      <c r="C321" s="267" t="e">
        <f>HLOOKUP(A321,'Courbe In'!$AA$2:$CD$3,2)</f>
        <v>#VALUE!</v>
      </c>
      <c r="D321" s="267" t="e">
        <f ca="1">HLOOKUP(A321,'Courbe In'!$AA$2:$CD$7,5)</f>
        <v>#VALUE!</v>
      </c>
      <c r="E321" s="267" t="e">
        <f>HLOOKUP(A321,'Courbe In'!$AA$2:$CD$7,4)</f>
        <v>#VALUE!</v>
      </c>
      <c r="F321" s="267" t="e">
        <f ca="1">HLOOKUP(A321,'Courbe In'!$AA$2:$CD$7,6)</f>
        <v>#VALUE!</v>
      </c>
      <c r="G321" s="267" t="e">
        <f>HLOOKUP(A321,'Courbe In'!$AA$2:$CD$8,7)</f>
        <v>#VALUE!</v>
      </c>
      <c r="H321" s="267" t="e">
        <f>HLOOKUP(A321,'Courbe In'!$AA$2:$CD$9,8)</f>
        <v>#VALUE!</v>
      </c>
      <c r="I321" s="266"/>
      <c r="J321" s="327"/>
      <c r="K321" s="268"/>
      <c r="L321" s="267"/>
    </row>
    <row r="322" spans="1:12">
      <c r="A322" s="268">
        <f t="shared" si="4"/>
        <v>45657.840324074074</v>
      </c>
      <c r="B322" s="266"/>
      <c r="C322" s="267" t="e">
        <f>HLOOKUP(A322,'Courbe In'!$AA$2:$CD$3,2)</f>
        <v>#VALUE!</v>
      </c>
      <c r="D322" s="267" t="e">
        <f ca="1">HLOOKUP(A322,'Courbe In'!$AA$2:$CD$7,5)</f>
        <v>#VALUE!</v>
      </c>
      <c r="E322" s="267" t="e">
        <f>HLOOKUP(A322,'Courbe In'!$AA$2:$CD$7,4)</f>
        <v>#VALUE!</v>
      </c>
      <c r="F322" s="267" t="e">
        <f ca="1">HLOOKUP(A322,'Courbe In'!$AA$2:$CD$7,6)</f>
        <v>#VALUE!</v>
      </c>
      <c r="G322" s="267" t="e">
        <f>HLOOKUP(A322,'Courbe In'!$AA$2:$CD$8,7)</f>
        <v>#VALUE!</v>
      </c>
      <c r="H322" s="267" t="e">
        <f>HLOOKUP(A322,'Courbe In'!$AA$2:$CD$9,8)</f>
        <v>#VALUE!</v>
      </c>
      <c r="I322" s="266"/>
      <c r="J322" s="327"/>
      <c r="K322" s="268"/>
      <c r="L322" s="267"/>
    </row>
    <row r="323" spans="1:12">
      <c r="A323" s="268">
        <f t="shared" si="4"/>
        <v>45658.840324074074</v>
      </c>
      <c r="B323" s="266"/>
      <c r="C323" s="267" t="e">
        <f>HLOOKUP(A323,'Courbe In'!$AA$2:$CD$3,2)</f>
        <v>#VALUE!</v>
      </c>
      <c r="D323" s="267" t="e">
        <f ca="1">HLOOKUP(A323,'Courbe In'!$AA$2:$CD$7,5)</f>
        <v>#VALUE!</v>
      </c>
      <c r="E323" s="267" t="e">
        <f>HLOOKUP(A323,'Courbe In'!$AA$2:$CD$7,4)</f>
        <v>#VALUE!</v>
      </c>
      <c r="F323" s="267" t="e">
        <f ca="1">HLOOKUP(A323,'Courbe In'!$AA$2:$CD$7,6)</f>
        <v>#VALUE!</v>
      </c>
      <c r="G323" s="267" t="e">
        <f>HLOOKUP(A323,'Courbe In'!$AA$2:$CD$8,7)</f>
        <v>#VALUE!</v>
      </c>
      <c r="H323" s="267" t="e">
        <f>HLOOKUP(A323,'Courbe In'!$AA$2:$CD$9,8)</f>
        <v>#VALUE!</v>
      </c>
      <c r="I323" s="266"/>
      <c r="J323" s="327"/>
      <c r="K323" s="268"/>
      <c r="L323" s="267"/>
    </row>
    <row r="324" spans="1:12">
      <c r="A324" s="268">
        <f t="shared" ref="A324:A365" si="5">A323+1</f>
        <v>45659.840324074074</v>
      </c>
      <c r="B324" s="266"/>
      <c r="C324" s="267" t="e">
        <f>HLOOKUP(A324,'Courbe In'!$AA$2:$CD$3,2)</f>
        <v>#VALUE!</v>
      </c>
      <c r="D324" s="267" t="e">
        <f ca="1">HLOOKUP(A324,'Courbe In'!$AA$2:$CD$7,5)</f>
        <v>#VALUE!</v>
      </c>
      <c r="E324" s="267" t="e">
        <f>HLOOKUP(A324,'Courbe In'!$AA$2:$CD$7,4)</f>
        <v>#VALUE!</v>
      </c>
      <c r="F324" s="267" t="e">
        <f ca="1">HLOOKUP(A324,'Courbe In'!$AA$2:$CD$7,6)</f>
        <v>#VALUE!</v>
      </c>
      <c r="G324" s="267" t="e">
        <f>HLOOKUP(A324,'Courbe In'!$AA$2:$CD$8,7)</f>
        <v>#VALUE!</v>
      </c>
      <c r="H324" s="267" t="e">
        <f>HLOOKUP(A324,'Courbe In'!$AA$2:$CD$9,8)</f>
        <v>#VALUE!</v>
      </c>
      <c r="I324" s="266"/>
      <c r="J324" s="327"/>
      <c r="K324" s="268"/>
      <c r="L324" s="267"/>
    </row>
    <row r="325" spans="1:12">
      <c r="A325" s="268">
        <f t="shared" si="5"/>
        <v>45660.840324074074</v>
      </c>
      <c r="B325" s="266"/>
      <c r="C325" s="267" t="e">
        <f>HLOOKUP(A325,'Courbe In'!$AA$2:$CD$3,2)</f>
        <v>#VALUE!</v>
      </c>
      <c r="D325" s="267" t="e">
        <f ca="1">HLOOKUP(A325,'Courbe In'!$AA$2:$CD$7,5)</f>
        <v>#VALUE!</v>
      </c>
      <c r="E325" s="267" t="e">
        <f>HLOOKUP(A325,'Courbe In'!$AA$2:$CD$7,4)</f>
        <v>#VALUE!</v>
      </c>
      <c r="F325" s="267" t="e">
        <f ca="1">HLOOKUP(A325,'Courbe In'!$AA$2:$CD$7,6)</f>
        <v>#VALUE!</v>
      </c>
      <c r="G325" s="267" t="e">
        <f>HLOOKUP(A325,'Courbe In'!$AA$2:$CD$8,7)</f>
        <v>#VALUE!</v>
      </c>
      <c r="H325" s="267" t="e">
        <f>HLOOKUP(A325,'Courbe In'!$AA$2:$CD$9,8)</f>
        <v>#VALUE!</v>
      </c>
      <c r="I325" s="266"/>
      <c r="J325" s="327"/>
      <c r="K325" s="268"/>
      <c r="L325" s="267"/>
    </row>
    <row r="326" spans="1:12">
      <c r="A326" s="268">
        <f t="shared" si="5"/>
        <v>45661.840324074074</v>
      </c>
      <c r="B326" s="266"/>
      <c r="C326" s="267" t="e">
        <f>HLOOKUP(A326,'Courbe In'!$AA$2:$CD$3,2)</f>
        <v>#VALUE!</v>
      </c>
      <c r="D326" s="267" t="e">
        <f ca="1">HLOOKUP(A326,'Courbe In'!$AA$2:$CD$7,5)</f>
        <v>#VALUE!</v>
      </c>
      <c r="E326" s="267" t="e">
        <f>HLOOKUP(A326,'Courbe In'!$AA$2:$CD$7,4)</f>
        <v>#VALUE!</v>
      </c>
      <c r="F326" s="267" t="e">
        <f ca="1">HLOOKUP(A326,'Courbe In'!$AA$2:$CD$7,6)</f>
        <v>#VALUE!</v>
      </c>
      <c r="G326" s="267" t="e">
        <f>HLOOKUP(A326,'Courbe In'!$AA$2:$CD$8,7)</f>
        <v>#VALUE!</v>
      </c>
      <c r="H326" s="267" t="e">
        <f>HLOOKUP(A326,'Courbe In'!$AA$2:$CD$9,8)</f>
        <v>#VALUE!</v>
      </c>
      <c r="I326" s="266"/>
      <c r="J326" s="327"/>
      <c r="K326" s="268"/>
      <c r="L326" s="267"/>
    </row>
    <row r="327" spans="1:12">
      <c r="A327" s="268">
        <f t="shared" si="5"/>
        <v>45662.840324074074</v>
      </c>
      <c r="B327" s="266"/>
      <c r="C327" s="267" t="e">
        <f>HLOOKUP(A327,'Courbe In'!$AA$2:$CD$3,2)</f>
        <v>#VALUE!</v>
      </c>
      <c r="D327" s="267" t="e">
        <f ca="1">HLOOKUP(A327,'Courbe In'!$AA$2:$CD$7,5)</f>
        <v>#VALUE!</v>
      </c>
      <c r="E327" s="267" t="e">
        <f>HLOOKUP(A327,'Courbe In'!$AA$2:$CD$7,4)</f>
        <v>#VALUE!</v>
      </c>
      <c r="F327" s="267" t="e">
        <f ca="1">HLOOKUP(A327,'Courbe In'!$AA$2:$CD$7,6)</f>
        <v>#VALUE!</v>
      </c>
      <c r="G327" s="267" t="e">
        <f>HLOOKUP(A327,'Courbe In'!$AA$2:$CD$8,7)</f>
        <v>#VALUE!</v>
      </c>
      <c r="H327" s="267" t="e">
        <f>HLOOKUP(A327,'Courbe In'!$AA$2:$CD$9,8)</f>
        <v>#VALUE!</v>
      </c>
      <c r="I327" s="266"/>
      <c r="J327" s="327"/>
      <c r="K327" s="268"/>
      <c r="L327" s="267"/>
    </row>
    <row r="328" spans="1:12">
      <c r="A328" s="268">
        <f t="shared" si="5"/>
        <v>45663.840324074074</v>
      </c>
      <c r="B328" s="266"/>
      <c r="C328" s="267" t="e">
        <f>HLOOKUP(A328,'Courbe In'!$AA$2:$CD$3,2)</f>
        <v>#VALUE!</v>
      </c>
      <c r="D328" s="267" t="e">
        <f ca="1">HLOOKUP(A328,'Courbe In'!$AA$2:$CD$7,5)</f>
        <v>#VALUE!</v>
      </c>
      <c r="E328" s="267" t="e">
        <f>HLOOKUP(A328,'Courbe In'!$AA$2:$CD$7,4)</f>
        <v>#VALUE!</v>
      </c>
      <c r="F328" s="267" t="e">
        <f ca="1">HLOOKUP(A328,'Courbe In'!$AA$2:$CD$7,6)</f>
        <v>#VALUE!</v>
      </c>
      <c r="G328" s="267" t="e">
        <f>HLOOKUP(A328,'Courbe In'!$AA$2:$CD$8,7)</f>
        <v>#VALUE!</v>
      </c>
      <c r="H328" s="267" t="e">
        <f>HLOOKUP(A328,'Courbe In'!$AA$2:$CD$9,8)</f>
        <v>#VALUE!</v>
      </c>
      <c r="I328" s="266"/>
      <c r="J328" s="327"/>
      <c r="K328" s="268"/>
      <c r="L328" s="267"/>
    </row>
    <row r="329" spans="1:12">
      <c r="A329" s="268">
        <f t="shared" si="5"/>
        <v>45664.840324074074</v>
      </c>
      <c r="B329" s="266"/>
      <c r="C329" s="267" t="e">
        <f>HLOOKUP(A329,'Courbe In'!$AA$2:$CD$3,2)</f>
        <v>#VALUE!</v>
      </c>
      <c r="D329" s="267" t="e">
        <f ca="1">HLOOKUP(A329,'Courbe In'!$AA$2:$CD$7,5)</f>
        <v>#VALUE!</v>
      </c>
      <c r="E329" s="267" t="e">
        <f>HLOOKUP(A329,'Courbe In'!$AA$2:$CD$7,4)</f>
        <v>#VALUE!</v>
      </c>
      <c r="F329" s="267" t="e">
        <f ca="1">HLOOKUP(A329,'Courbe In'!$AA$2:$CD$7,6)</f>
        <v>#VALUE!</v>
      </c>
      <c r="G329" s="267" t="e">
        <f>HLOOKUP(A329,'Courbe In'!$AA$2:$CD$8,7)</f>
        <v>#VALUE!</v>
      </c>
      <c r="H329" s="267" t="e">
        <f>HLOOKUP(A329,'Courbe In'!$AA$2:$CD$9,8)</f>
        <v>#VALUE!</v>
      </c>
      <c r="I329" s="266"/>
      <c r="J329" s="327"/>
      <c r="K329" s="268"/>
      <c r="L329" s="267"/>
    </row>
    <row r="330" spans="1:12">
      <c r="A330" s="268">
        <f t="shared" si="5"/>
        <v>45665.840324074074</v>
      </c>
      <c r="B330" s="266"/>
      <c r="C330" s="267" t="e">
        <f>HLOOKUP(A330,'Courbe In'!$AA$2:$CD$3,2)</f>
        <v>#VALUE!</v>
      </c>
      <c r="D330" s="267" t="e">
        <f ca="1">HLOOKUP(A330,'Courbe In'!$AA$2:$CD$7,5)</f>
        <v>#VALUE!</v>
      </c>
      <c r="E330" s="267" t="e">
        <f>HLOOKUP(A330,'Courbe In'!$AA$2:$CD$7,4)</f>
        <v>#VALUE!</v>
      </c>
      <c r="F330" s="267" t="e">
        <f ca="1">HLOOKUP(A330,'Courbe In'!$AA$2:$CD$7,6)</f>
        <v>#VALUE!</v>
      </c>
      <c r="G330" s="267" t="e">
        <f>HLOOKUP(A330,'Courbe In'!$AA$2:$CD$8,7)</f>
        <v>#VALUE!</v>
      </c>
      <c r="H330" s="267" t="e">
        <f>HLOOKUP(A330,'Courbe In'!$AA$2:$CD$9,8)</f>
        <v>#VALUE!</v>
      </c>
      <c r="I330" s="266"/>
      <c r="J330" s="327"/>
      <c r="K330" s="268"/>
      <c r="L330" s="267"/>
    </row>
    <row r="331" spans="1:12">
      <c r="A331" s="268">
        <f t="shared" si="5"/>
        <v>45666.840324074074</v>
      </c>
      <c r="B331" s="266"/>
      <c r="C331" s="267" t="e">
        <f>HLOOKUP(A331,'Courbe In'!$AA$2:$CD$3,2)</f>
        <v>#VALUE!</v>
      </c>
      <c r="D331" s="267" t="e">
        <f ca="1">HLOOKUP(A331,'Courbe In'!$AA$2:$CD$7,5)</f>
        <v>#VALUE!</v>
      </c>
      <c r="E331" s="267" t="e">
        <f>HLOOKUP(A331,'Courbe In'!$AA$2:$CD$7,4)</f>
        <v>#VALUE!</v>
      </c>
      <c r="F331" s="267" t="e">
        <f ca="1">HLOOKUP(A331,'Courbe In'!$AA$2:$CD$7,6)</f>
        <v>#VALUE!</v>
      </c>
      <c r="G331" s="267" t="e">
        <f>HLOOKUP(A331,'Courbe In'!$AA$2:$CD$8,7)</f>
        <v>#VALUE!</v>
      </c>
      <c r="H331" s="267" t="e">
        <f>HLOOKUP(A331,'Courbe In'!$AA$2:$CD$9,8)</f>
        <v>#VALUE!</v>
      </c>
      <c r="I331" s="266"/>
      <c r="J331" s="327"/>
      <c r="K331" s="268"/>
      <c r="L331" s="267"/>
    </row>
    <row r="332" spans="1:12">
      <c r="A332" s="268">
        <f t="shared" si="5"/>
        <v>45667.840324074074</v>
      </c>
      <c r="B332" s="266"/>
      <c r="C332" s="267" t="e">
        <f>HLOOKUP(A332,'Courbe In'!$AA$2:$CD$3,2)</f>
        <v>#VALUE!</v>
      </c>
      <c r="D332" s="267" t="e">
        <f ca="1">HLOOKUP(A332,'Courbe In'!$AA$2:$CD$7,5)</f>
        <v>#VALUE!</v>
      </c>
      <c r="E332" s="267" t="e">
        <f>HLOOKUP(A332,'Courbe In'!$AA$2:$CD$7,4)</f>
        <v>#VALUE!</v>
      </c>
      <c r="F332" s="267" t="e">
        <f ca="1">HLOOKUP(A332,'Courbe In'!$AA$2:$CD$7,6)</f>
        <v>#VALUE!</v>
      </c>
      <c r="G332" s="267" t="e">
        <f>HLOOKUP(A332,'Courbe In'!$AA$2:$CD$8,7)</f>
        <v>#VALUE!</v>
      </c>
      <c r="H332" s="267" t="e">
        <f>HLOOKUP(A332,'Courbe In'!$AA$2:$CD$9,8)</f>
        <v>#VALUE!</v>
      </c>
      <c r="I332" s="266"/>
      <c r="J332" s="327"/>
      <c r="K332" s="268"/>
      <c r="L332" s="267"/>
    </row>
    <row r="333" spans="1:12">
      <c r="A333" s="268">
        <f t="shared" si="5"/>
        <v>45668.840324074074</v>
      </c>
      <c r="B333" s="266"/>
      <c r="C333" s="267" t="e">
        <f>HLOOKUP(A333,'Courbe In'!$AA$2:$CD$3,2)</f>
        <v>#VALUE!</v>
      </c>
      <c r="D333" s="267" t="e">
        <f ca="1">HLOOKUP(A333,'Courbe In'!$AA$2:$CD$7,5)</f>
        <v>#VALUE!</v>
      </c>
      <c r="E333" s="267" t="e">
        <f>HLOOKUP(A333,'Courbe In'!$AA$2:$CD$7,4)</f>
        <v>#VALUE!</v>
      </c>
      <c r="F333" s="267" t="e">
        <f ca="1">HLOOKUP(A333,'Courbe In'!$AA$2:$CD$7,6)</f>
        <v>#VALUE!</v>
      </c>
      <c r="G333" s="267" t="e">
        <f>HLOOKUP(A333,'Courbe In'!$AA$2:$CD$8,7)</f>
        <v>#VALUE!</v>
      </c>
      <c r="H333" s="267" t="e">
        <f>HLOOKUP(A333,'Courbe In'!$AA$2:$CD$9,8)</f>
        <v>#VALUE!</v>
      </c>
      <c r="I333" s="266"/>
      <c r="J333" s="327"/>
      <c r="K333" s="268"/>
      <c r="L333" s="267"/>
    </row>
    <row r="334" spans="1:12">
      <c r="A334" s="268">
        <f t="shared" si="5"/>
        <v>45669.840324074074</v>
      </c>
      <c r="B334" s="266"/>
      <c r="C334" s="267" t="e">
        <f>HLOOKUP(A334,'Courbe In'!$AA$2:$CD$3,2)</f>
        <v>#VALUE!</v>
      </c>
      <c r="D334" s="267" t="e">
        <f ca="1">HLOOKUP(A334,'Courbe In'!$AA$2:$CD$7,5)</f>
        <v>#VALUE!</v>
      </c>
      <c r="E334" s="267" t="e">
        <f>HLOOKUP(A334,'Courbe In'!$AA$2:$CD$7,4)</f>
        <v>#VALUE!</v>
      </c>
      <c r="F334" s="267" t="e">
        <f ca="1">HLOOKUP(A334,'Courbe In'!$AA$2:$CD$7,6)</f>
        <v>#VALUE!</v>
      </c>
      <c r="G334" s="267" t="e">
        <f>HLOOKUP(A334,'Courbe In'!$AA$2:$CD$8,7)</f>
        <v>#VALUE!</v>
      </c>
      <c r="H334" s="267" t="e">
        <f>HLOOKUP(A334,'Courbe In'!$AA$2:$CD$9,8)</f>
        <v>#VALUE!</v>
      </c>
      <c r="I334" s="266"/>
      <c r="J334" s="327"/>
      <c r="K334" s="268"/>
      <c r="L334" s="267"/>
    </row>
    <row r="335" spans="1:12">
      <c r="A335" s="268">
        <f t="shared" si="5"/>
        <v>45670.840324074074</v>
      </c>
      <c r="B335" s="266"/>
      <c r="C335" s="267" t="e">
        <f>HLOOKUP(A335,'Courbe In'!$AA$2:$CD$3,2)</f>
        <v>#VALUE!</v>
      </c>
      <c r="D335" s="267" t="e">
        <f ca="1">HLOOKUP(A335,'Courbe In'!$AA$2:$CD$7,5)</f>
        <v>#VALUE!</v>
      </c>
      <c r="E335" s="267" t="e">
        <f>HLOOKUP(A335,'Courbe In'!$AA$2:$CD$7,4)</f>
        <v>#VALUE!</v>
      </c>
      <c r="F335" s="267" t="e">
        <f ca="1">HLOOKUP(A335,'Courbe In'!$AA$2:$CD$7,6)</f>
        <v>#VALUE!</v>
      </c>
      <c r="G335" s="267" t="e">
        <f>HLOOKUP(A335,'Courbe In'!$AA$2:$CD$8,7)</f>
        <v>#VALUE!</v>
      </c>
      <c r="H335" s="267" t="e">
        <f>HLOOKUP(A335,'Courbe In'!$AA$2:$CD$9,8)</f>
        <v>#VALUE!</v>
      </c>
      <c r="I335" s="266"/>
      <c r="J335" s="327"/>
      <c r="K335" s="268"/>
      <c r="L335" s="267"/>
    </row>
    <row r="336" spans="1:12">
      <c r="A336" s="268">
        <f t="shared" si="5"/>
        <v>45671.840324074074</v>
      </c>
      <c r="B336" s="266"/>
      <c r="C336" s="267" t="e">
        <f>HLOOKUP(A336,'Courbe In'!$AA$2:$CD$3,2)</f>
        <v>#VALUE!</v>
      </c>
      <c r="D336" s="267" t="e">
        <f ca="1">HLOOKUP(A336,'Courbe In'!$AA$2:$CD$7,5)</f>
        <v>#VALUE!</v>
      </c>
      <c r="E336" s="267" t="e">
        <f>HLOOKUP(A336,'Courbe In'!$AA$2:$CD$7,4)</f>
        <v>#VALUE!</v>
      </c>
      <c r="F336" s="267" t="e">
        <f ca="1">HLOOKUP(A336,'Courbe In'!$AA$2:$CD$7,6)</f>
        <v>#VALUE!</v>
      </c>
      <c r="G336" s="267" t="e">
        <f>HLOOKUP(A336,'Courbe In'!$AA$2:$CD$8,7)</f>
        <v>#VALUE!</v>
      </c>
      <c r="H336" s="267" t="e">
        <f>HLOOKUP(A336,'Courbe In'!$AA$2:$CD$9,8)</f>
        <v>#VALUE!</v>
      </c>
      <c r="I336" s="266"/>
      <c r="J336" s="327"/>
      <c r="K336" s="268"/>
      <c r="L336" s="267"/>
    </row>
    <row r="337" spans="1:12">
      <c r="A337" s="268">
        <f t="shared" si="5"/>
        <v>45672.840324074074</v>
      </c>
      <c r="B337" s="266"/>
      <c r="C337" s="267" t="e">
        <f>HLOOKUP(A337,'Courbe In'!$AA$2:$CD$3,2)</f>
        <v>#VALUE!</v>
      </c>
      <c r="D337" s="267" t="e">
        <f ca="1">HLOOKUP(A337,'Courbe In'!$AA$2:$CD$7,5)</f>
        <v>#VALUE!</v>
      </c>
      <c r="E337" s="267" t="e">
        <f>HLOOKUP(A337,'Courbe In'!$AA$2:$CD$7,4)</f>
        <v>#VALUE!</v>
      </c>
      <c r="F337" s="267" t="e">
        <f ca="1">HLOOKUP(A337,'Courbe In'!$AA$2:$CD$7,6)</f>
        <v>#VALUE!</v>
      </c>
      <c r="G337" s="267" t="e">
        <f>HLOOKUP(A337,'Courbe In'!$AA$2:$CD$8,7)</f>
        <v>#VALUE!</v>
      </c>
      <c r="H337" s="267" t="e">
        <f>HLOOKUP(A337,'Courbe In'!$AA$2:$CD$9,8)</f>
        <v>#VALUE!</v>
      </c>
      <c r="I337" s="266"/>
      <c r="J337" s="327"/>
      <c r="K337" s="268"/>
      <c r="L337" s="267"/>
    </row>
    <row r="338" spans="1:12">
      <c r="A338" s="268">
        <f t="shared" si="5"/>
        <v>45673.840324074074</v>
      </c>
      <c r="B338" s="266"/>
      <c r="C338" s="267" t="e">
        <f>HLOOKUP(A338,'Courbe In'!$AA$2:$CD$3,2)</f>
        <v>#VALUE!</v>
      </c>
      <c r="D338" s="267" t="e">
        <f ca="1">HLOOKUP(A338,'Courbe In'!$AA$2:$CD$7,5)</f>
        <v>#VALUE!</v>
      </c>
      <c r="E338" s="267" t="e">
        <f>HLOOKUP(A338,'Courbe In'!$AA$2:$CD$7,4)</f>
        <v>#VALUE!</v>
      </c>
      <c r="F338" s="267" t="e">
        <f ca="1">HLOOKUP(A338,'Courbe In'!$AA$2:$CD$7,6)</f>
        <v>#VALUE!</v>
      </c>
      <c r="G338" s="267" t="e">
        <f>HLOOKUP(A338,'Courbe In'!$AA$2:$CD$8,7)</f>
        <v>#VALUE!</v>
      </c>
      <c r="H338" s="267" t="e">
        <f>HLOOKUP(A338,'Courbe In'!$AA$2:$CD$9,8)</f>
        <v>#VALUE!</v>
      </c>
      <c r="I338" s="266"/>
      <c r="J338" s="327"/>
      <c r="K338" s="268"/>
      <c r="L338" s="267"/>
    </row>
    <row r="339" spans="1:12">
      <c r="A339" s="268">
        <f t="shared" si="5"/>
        <v>45674.840324074074</v>
      </c>
      <c r="B339" s="266"/>
      <c r="C339" s="267" t="e">
        <f>HLOOKUP(A339,'Courbe In'!$AA$2:$CD$3,2)</f>
        <v>#VALUE!</v>
      </c>
      <c r="D339" s="267" t="e">
        <f ca="1">HLOOKUP(A339,'Courbe In'!$AA$2:$CD$7,5)</f>
        <v>#VALUE!</v>
      </c>
      <c r="E339" s="267" t="e">
        <f>HLOOKUP(A339,'Courbe In'!$AA$2:$CD$7,4)</f>
        <v>#VALUE!</v>
      </c>
      <c r="F339" s="267" t="e">
        <f ca="1">HLOOKUP(A339,'Courbe In'!$AA$2:$CD$7,6)</f>
        <v>#VALUE!</v>
      </c>
      <c r="G339" s="267" t="e">
        <f>HLOOKUP(A339,'Courbe In'!$AA$2:$CD$8,7)</f>
        <v>#VALUE!</v>
      </c>
      <c r="H339" s="267" t="e">
        <f>HLOOKUP(A339,'Courbe In'!$AA$2:$CD$9,8)</f>
        <v>#VALUE!</v>
      </c>
      <c r="I339" s="266"/>
      <c r="J339" s="327"/>
      <c r="K339" s="268"/>
      <c r="L339" s="267"/>
    </row>
    <row r="340" spans="1:12">
      <c r="A340" s="268">
        <f t="shared" si="5"/>
        <v>45675.840324074074</v>
      </c>
      <c r="B340" s="266"/>
      <c r="C340" s="267" t="e">
        <f>HLOOKUP(A340,'Courbe In'!$AA$2:$CD$3,2)</f>
        <v>#VALUE!</v>
      </c>
      <c r="D340" s="267" t="e">
        <f ca="1">HLOOKUP(A340,'Courbe In'!$AA$2:$CD$7,5)</f>
        <v>#VALUE!</v>
      </c>
      <c r="E340" s="267" t="e">
        <f>HLOOKUP(A340,'Courbe In'!$AA$2:$CD$7,4)</f>
        <v>#VALUE!</v>
      </c>
      <c r="F340" s="267" t="e">
        <f ca="1">HLOOKUP(A340,'Courbe In'!$AA$2:$CD$7,6)</f>
        <v>#VALUE!</v>
      </c>
      <c r="G340" s="267" t="e">
        <f>HLOOKUP(A340,'Courbe In'!$AA$2:$CD$8,7)</f>
        <v>#VALUE!</v>
      </c>
      <c r="H340" s="267" t="e">
        <f>HLOOKUP(A340,'Courbe In'!$AA$2:$CD$9,8)</f>
        <v>#VALUE!</v>
      </c>
      <c r="I340" s="266"/>
      <c r="J340" s="327"/>
      <c r="K340" s="268"/>
      <c r="L340" s="267"/>
    </row>
    <row r="341" spans="1:12">
      <c r="A341" s="268">
        <f t="shared" si="5"/>
        <v>45676.840324074074</v>
      </c>
      <c r="B341" s="266"/>
      <c r="C341" s="267" t="e">
        <f>HLOOKUP(A341,'Courbe In'!$AA$2:$CD$3,2)</f>
        <v>#VALUE!</v>
      </c>
      <c r="D341" s="267" t="e">
        <f ca="1">HLOOKUP(A341,'Courbe In'!$AA$2:$CD$7,5)</f>
        <v>#VALUE!</v>
      </c>
      <c r="E341" s="267" t="e">
        <f>HLOOKUP(A341,'Courbe In'!$AA$2:$CD$7,4)</f>
        <v>#VALUE!</v>
      </c>
      <c r="F341" s="267" t="e">
        <f ca="1">HLOOKUP(A341,'Courbe In'!$AA$2:$CD$7,6)</f>
        <v>#VALUE!</v>
      </c>
      <c r="G341" s="267" t="e">
        <f>HLOOKUP(A341,'Courbe In'!$AA$2:$CD$8,7)</f>
        <v>#VALUE!</v>
      </c>
      <c r="H341" s="267" t="e">
        <f>HLOOKUP(A341,'Courbe In'!$AA$2:$CD$9,8)</f>
        <v>#VALUE!</v>
      </c>
      <c r="I341" s="266"/>
      <c r="J341" s="327"/>
      <c r="K341" s="268"/>
      <c r="L341" s="267"/>
    </row>
    <row r="342" spans="1:12">
      <c r="A342" s="268">
        <f t="shared" si="5"/>
        <v>45677.840324074074</v>
      </c>
      <c r="B342" s="266"/>
      <c r="C342" s="267" t="e">
        <f>HLOOKUP(A342,'Courbe In'!$AA$2:$CD$3,2)</f>
        <v>#VALUE!</v>
      </c>
      <c r="D342" s="267" t="e">
        <f ca="1">HLOOKUP(A342,'Courbe In'!$AA$2:$CD$7,5)</f>
        <v>#VALUE!</v>
      </c>
      <c r="E342" s="267" t="e">
        <f>HLOOKUP(A342,'Courbe In'!$AA$2:$CD$7,4)</f>
        <v>#VALUE!</v>
      </c>
      <c r="F342" s="267" t="e">
        <f ca="1">HLOOKUP(A342,'Courbe In'!$AA$2:$CD$7,6)</f>
        <v>#VALUE!</v>
      </c>
      <c r="G342" s="267" t="e">
        <f>HLOOKUP(A342,'Courbe In'!$AA$2:$CD$8,7)</f>
        <v>#VALUE!</v>
      </c>
      <c r="H342" s="267" t="e">
        <f>HLOOKUP(A342,'Courbe In'!$AA$2:$CD$9,8)</f>
        <v>#VALUE!</v>
      </c>
      <c r="I342" s="266"/>
      <c r="J342" s="327"/>
      <c r="K342" s="268"/>
      <c r="L342" s="267"/>
    </row>
    <row r="343" spans="1:12">
      <c r="A343" s="268">
        <f t="shared" si="5"/>
        <v>45678.840324074074</v>
      </c>
      <c r="B343" s="266"/>
      <c r="C343" s="267" t="e">
        <f>HLOOKUP(A343,'Courbe In'!$AA$2:$CD$3,2)</f>
        <v>#VALUE!</v>
      </c>
      <c r="D343" s="267" t="e">
        <f ca="1">HLOOKUP(A343,'Courbe In'!$AA$2:$CD$7,5)</f>
        <v>#VALUE!</v>
      </c>
      <c r="E343" s="267" t="e">
        <f>HLOOKUP(A343,'Courbe In'!$AA$2:$CD$7,4)</f>
        <v>#VALUE!</v>
      </c>
      <c r="F343" s="267" t="e">
        <f ca="1">HLOOKUP(A343,'Courbe In'!$AA$2:$CD$7,6)</f>
        <v>#VALUE!</v>
      </c>
      <c r="G343" s="267" t="e">
        <f>HLOOKUP(A343,'Courbe In'!$AA$2:$CD$8,7)</f>
        <v>#VALUE!</v>
      </c>
      <c r="H343" s="267" t="e">
        <f>HLOOKUP(A343,'Courbe In'!$AA$2:$CD$9,8)</f>
        <v>#VALUE!</v>
      </c>
      <c r="I343" s="266"/>
      <c r="J343" s="327"/>
      <c r="K343" s="268"/>
      <c r="L343" s="267"/>
    </row>
    <row r="344" spans="1:12">
      <c r="A344" s="268">
        <f t="shared" si="5"/>
        <v>45679.840324074074</v>
      </c>
      <c r="B344" s="266"/>
      <c r="C344" s="267" t="e">
        <f>HLOOKUP(A344,'Courbe In'!$AA$2:$CD$3,2)</f>
        <v>#VALUE!</v>
      </c>
      <c r="D344" s="267" t="e">
        <f ca="1">HLOOKUP(A344,'Courbe In'!$AA$2:$CD$7,5)</f>
        <v>#VALUE!</v>
      </c>
      <c r="E344" s="267" t="e">
        <f>HLOOKUP(A344,'Courbe In'!$AA$2:$CD$7,4)</f>
        <v>#VALUE!</v>
      </c>
      <c r="F344" s="267" t="e">
        <f ca="1">HLOOKUP(A344,'Courbe In'!$AA$2:$CD$7,6)</f>
        <v>#VALUE!</v>
      </c>
      <c r="G344" s="267" t="e">
        <f>HLOOKUP(A344,'Courbe In'!$AA$2:$CD$8,7)</f>
        <v>#VALUE!</v>
      </c>
      <c r="H344" s="267" t="e">
        <f>HLOOKUP(A344,'Courbe In'!$AA$2:$CD$9,8)</f>
        <v>#VALUE!</v>
      </c>
      <c r="I344" s="266"/>
      <c r="J344" s="327"/>
      <c r="K344" s="268"/>
      <c r="L344" s="267"/>
    </row>
    <row r="345" spans="1:12">
      <c r="A345" s="268">
        <f t="shared" si="5"/>
        <v>45680.840324074074</v>
      </c>
      <c r="B345" s="266"/>
      <c r="C345" s="267" t="e">
        <f>HLOOKUP(A345,'Courbe In'!$AA$2:$CD$3,2)</f>
        <v>#VALUE!</v>
      </c>
      <c r="D345" s="267" t="e">
        <f ca="1">HLOOKUP(A345,'Courbe In'!$AA$2:$CD$7,5)</f>
        <v>#VALUE!</v>
      </c>
      <c r="E345" s="267" t="e">
        <f>HLOOKUP(A345,'Courbe In'!$AA$2:$CD$7,4)</f>
        <v>#VALUE!</v>
      </c>
      <c r="F345" s="267" t="e">
        <f ca="1">HLOOKUP(A345,'Courbe In'!$AA$2:$CD$7,6)</f>
        <v>#VALUE!</v>
      </c>
      <c r="G345" s="267" t="e">
        <f>HLOOKUP(A345,'Courbe In'!$AA$2:$CD$8,7)</f>
        <v>#VALUE!</v>
      </c>
      <c r="H345" s="267" t="e">
        <f>HLOOKUP(A345,'Courbe In'!$AA$2:$CD$9,8)</f>
        <v>#VALUE!</v>
      </c>
      <c r="I345" s="266"/>
      <c r="J345" s="327"/>
      <c r="K345" s="268"/>
      <c r="L345" s="267"/>
    </row>
    <row r="346" spans="1:12">
      <c r="A346" s="268">
        <f t="shared" si="5"/>
        <v>45681.840324074074</v>
      </c>
      <c r="B346" s="266"/>
      <c r="C346" s="267" t="e">
        <f>HLOOKUP(A346,'Courbe In'!$AA$2:$CD$3,2)</f>
        <v>#VALUE!</v>
      </c>
      <c r="D346" s="267" t="e">
        <f ca="1">HLOOKUP(A346,'Courbe In'!$AA$2:$CD$7,5)</f>
        <v>#VALUE!</v>
      </c>
      <c r="E346" s="267" t="e">
        <f>HLOOKUP(A346,'Courbe In'!$AA$2:$CD$7,4)</f>
        <v>#VALUE!</v>
      </c>
      <c r="F346" s="267" t="e">
        <f ca="1">HLOOKUP(A346,'Courbe In'!$AA$2:$CD$7,6)</f>
        <v>#VALUE!</v>
      </c>
      <c r="G346" s="267" t="e">
        <f>HLOOKUP(A346,'Courbe In'!$AA$2:$CD$8,7)</f>
        <v>#VALUE!</v>
      </c>
      <c r="H346" s="267" t="e">
        <f>HLOOKUP(A346,'Courbe In'!$AA$2:$CD$9,8)</f>
        <v>#VALUE!</v>
      </c>
      <c r="I346" s="266"/>
      <c r="J346" s="327"/>
      <c r="K346" s="268"/>
      <c r="L346" s="267"/>
    </row>
    <row r="347" spans="1:12">
      <c r="A347" s="268">
        <f t="shared" si="5"/>
        <v>45682.840324074074</v>
      </c>
      <c r="B347" s="266"/>
      <c r="C347" s="267" t="e">
        <f>HLOOKUP(A347,'Courbe In'!$AA$2:$CD$3,2)</f>
        <v>#VALUE!</v>
      </c>
      <c r="D347" s="267" t="e">
        <f ca="1">HLOOKUP(A347,'Courbe In'!$AA$2:$CD$7,5)</f>
        <v>#VALUE!</v>
      </c>
      <c r="E347" s="267" t="e">
        <f>HLOOKUP(A347,'Courbe In'!$AA$2:$CD$7,4)</f>
        <v>#VALUE!</v>
      </c>
      <c r="F347" s="267" t="e">
        <f ca="1">HLOOKUP(A347,'Courbe In'!$AA$2:$CD$7,6)</f>
        <v>#VALUE!</v>
      </c>
      <c r="G347" s="267" t="e">
        <f>HLOOKUP(A347,'Courbe In'!$AA$2:$CD$8,7)</f>
        <v>#VALUE!</v>
      </c>
      <c r="H347" s="267" t="e">
        <f>HLOOKUP(A347,'Courbe In'!$AA$2:$CD$9,8)</f>
        <v>#VALUE!</v>
      </c>
      <c r="I347" s="266"/>
      <c r="J347" s="327"/>
      <c r="K347" s="268"/>
      <c r="L347" s="267"/>
    </row>
    <row r="348" spans="1:12">
      <c r="A348" s="268">
        <f t="shared" si="5"/>
        <v>45683.840324074074</v>
      </c>
      <c r="B348" s="266"/>
      <c r="C348" s="267" t="e">
        <f>HLOOKUP(A348,'Courbe In'!$AA$2:$CD$3,2)</f>
        <v>#VALUE!</v>
      </c>
      <c r="D348" s="267" t="e">
        <f ca="1">HLOOKUP(A348,'Courbe In'!$AA$2:$CD$7,5)</f>
        <v>#VALUE!</v>
      </c>
      <c r="E348" s="267" t="e">
        <f>HLOOKUP(A348,'Courbe In'!$AA$2:$CD$7,4)</f>
        <v>#VALUE!</v>
      </c>
      <c r="F348" s="267" t="e">
        <f ca="1">HLOOKUP(A348,'Courbe In'!$AA$2:$CD$7,6)</f>
        <v>#VALUE!</v>
      </c>
      <c r="G348" s="267" t="e">
        <f>HLOOKUP(A348,'Courbe In'!$AA$2:$CD$8,7)</f>
        <v>#VALUE!</v>
      </c>
      <c r="H348" s="267" t="e">
        <f>HLOOKUP(A348,'Courbe In'!$AA$2:$CD$9,8)</f>
        <v>#VALUE!</v>
      </c>
      <c r="I348" s="266"/>
      <c r="J348" s="327"/>
      <c r="K348" s="268"/>
      <c r="L348" s="267"/>
    </row>
    <row r="349" spans="1:12">
      <c r="A349" s="268">
        <f t="shared" si="5"/>
        <v>45684.840324074074</v>
      </c>
      <c r="B349" s="266"/>
      <c r="C349" s="267" t="e">
        <f>HLOOKUP(A349,'Courbe In'!$AA$2:$CD$3,2)</f>
        <v>#VALUE!</v>
      </c>
      <c r="D349" s="267" t="e">
        <f ca="1">HLOOKUP(A349,'Courbe In'!$AA$2:$CD$7,5)</f>
        <v>#VALUE!</v>
      </c>
      <c r="E349" s="267" t="e">
        <f>HLOOKUP(A349,'Courbe In'!$AA$2:$CD$7,4)</f>
        <v>#VALUE!</v>
      </c>
      <c r="F349" s="267" t="e">
        <f ca="1">HLOOKUP(A349,'Courbe In'!$AA$2:$CD$7,6)</f>
        <v>#VALUE!</v>
      </c>
      <c r="G349" s="267" t="e">
        <f>HLOOKUP(A349,'Courbe In'!$AA$2:$CD$8,7)</f>
        <v>#VALUE!</v>
      </c>
      <c r="H349" s="267" t="e">
        <f>HLOOKUP(A349,'Courbe In'!$AA$2:$CD$9,8)</f>
        <v>#VALUE!</v>
      </c>
      <c r="I349" s="266"/>
      <c r="J349" s="327"/>
      <c r="K349" s="268"/>
      <c r="L349" s="267"/>
    </row>
    <row r="350" spans="1:12">
      <c r="A350" s="268">
        <f t="shared" si="5"/>
        <v>45685.840324074074</v>
      </c>
      <c r="B350" s="266"/>
      <c r="C350" s="267" t="e">
        <f>HLOOKUP(A350,'Courbe In'!$AA$2:$CD$3,2)</f>
        <v>#VALUE!</v>
      </c>
      <c r="D350" s="267" t="e">
        <f ca="1">HLOOKUP(A350,'Courbe In'!$AA$2:$CD$7,5)</f>
        <v>#VALUE!</v>
      </c>
      <c r="E350" s="267" t="e">
        <f>HLOOKUP(A350,'Courbe In'!$AA$2:$CD$7,4)</f>
        <v>#VALUE!</v>
      </c>
      <c r="F350" s="267" t="e">
        <f ca="1">HLOOKUP(A350,'Courbe In'!$AA$2:$CD$7,6)</f>
        <v>#VALUE!</v>
      </c>
      <c r="G350" s="267" t="e">
        <f>HLOOKUP(A350,'Courbe In'!$AA$2:$CD$8,7)</f>
        <v>#VALUE!</v>
      </c>
      <c r="H350" s="267" t="e">
        <f>HLOOKUP(A350,'Courbe In'!$AA$2:$CD$9,8)</f>
        <v>#VALUE!</v>
      </c>
      <c r="I350" s="266"/>
      <c r="J350" s="327"/>
      <c r="K350" s="268"/>
      <c r="L350" s="267"/>
    </row>
    <row r="351" spans="1:12">
      <c r="A351" s="268">
        <f t="shared" si="5"/>
        <v>45686.840324074074</v>
      </c>
      <c r="B351" s="266"/>
      <c r="C351" s="267" t="e">
        <f>HLOOKUP(A351,'Courbe In'!$AA$2:$CD$3,2)</f>
        <v>#VALUE!</v>
      </c>
      <c r="D351" s="267" t="e">
        <f ca="1">HLOOKUP(A351,'Courbe In'!$AA$2:$CD$7,5)</f>
        <v>#VALUE!</v>
      </c>
      <c r="E351" s="267" t="e">
        <f>HLOOKUP(A351,'Courbe In'!$AA$2:$CD$7,4)</f>
        <v>#VALUE!</v>
      </c>
      <c r="F351" s="267" t="e">
        <f ca="1">HLOOKUP(A351,'Courbe In'!$AA$2:$CD$7,6)</f>
        <v>#VALUE!</v>
      </c>
      <c r="G351" s="267" t="e">
        <f>HLOOKUP(A351,'Courbe In'!$AA$2:$CD$8,7)</f>
        <v>#VALUE!</v>
      </c>
      <c r="H351" s="267" t="e">
        <f>HLOOKUP(A351,'Courbe In'!$AA$2:$CD$9,8)</f>
        <v>#VALUE!</v>
      </c>
      <c r="I351" s="266"/>
      <c r="J351" s="327"/>
      <c r="K351" s="268"/>
      <c r="L351" s="267"/>
    </row>
    <row r="352" spans="1:12">
      <c r="A352" s="268">
        <f t="shared" si="5"/>
        <v>45687.840324074074</v>
      </c>
      <c r="B352" s="266"/>
      <c r="C352" s="267" t="e">
        <f>HLOOKUP(A352,'Courbe In'!$AA$2:$CD$3,2)</f>
        <v>#VALUE!</v>
      </c>
      <c r="D352" s="267" t="e">
        <f ca="1">HLOOKUP(A352,'Courbe In'!$AA$2:$CD$7,5)</f>
        <v>#VALUE!</v>
      </c>
      <c r="E352" s="267" t="e">
        <f>HLOOKUP(A352,'Courbe In'!$AA$2:$CD$7,4)</f>
        <v>#VALUE!</v>
      </c>
      <c r="F352" s="267" t="e">
        <f ca="1">HLOOKUP(A352,'Courbe In'!$AA$2:$CD$7,6)</f>
        <v>#VALUE!</v>
      </c>
      <c r="G352" s="267" t="e">
        <f>HLOOKUP(A352,'Courbe In'!$AA$2:$CD$8,7)</f>
        <v>#VALUE!</v>
      </c>
      <c r="H352" s="267" t="e">
        <f>HLOOKUP(A352,'Courbe In'!$AA$2:$CD$9,8)</f>
        <v>#VALUE!</v>
      </c>
      <c r="I352" s="266"/>
      <c r="J352" s="327"/>
      <c r="K352" s="268"/>
      <c r="L352" s="267"/>
    </row>
    <row r="353" spans="1:12">
      <c r="A353" s="268">
        <f t="shared" si="5"/>
        <v>45688.840324074074</v>
      </c>
      <c r="B353" s="266"/>
      <c r="C353" s="267" t="e">
        <f>HLOOKUP(A353,'Courbe In'!$AA$2:$CD$3,2)</f>
        <v>#VALUE!</v>
      </c>
      <c r="D353" s="267" t="e">
        <f ca="1">HLOOKUP(A353,'Courbe In'!$AA$2:$CD$7,5)</f>
        <v>#VALUE!</v>
      </c>
      <c r="E353" s="267" t="e">
        <f>HLOOKUP(A353,'Courbe In'!$AA$2:$CD$7,4)</f>
        <v>#VALUE!</v>
      </c>
      <c r="F353" s="267" t="e">
        <f ca="1">HLOOKUP(A353,'Courbe In'!$AA$2:$CD$7,6)</f>
        <v>#VALUE!</v>
      </c>
      <c r="G353" s="267" t="e">
        <f>HLOOKUP(A353,'Courbe In'!$AA$2:$CD$8,7)</f>
        <v>#VALUE!</v>
      </c>
      <c r="H353" s="267" t="e">
        <f>HLOOKUP(A353,'Courbe In'!$AA$2:$CD$9,8)</f>
        <v>#VALUE!</v>
      </c>
      <c r="I353" s="266"/>
      <c r="J353" s="327"/>
      <c r="K353" s="268"/>
      <c r="L353" s="267"/>
    </row>
    <row r="354" spans="1:12">
      <c r="A354" s="268">
        <f t="shared" si="5"/>
        <v>45689.840324074074</v>
      </c>
      <c r="B354" s="266"/>
      <c r="C354" s="267" t="e">
        <f>HLOOKUP(A354,'Courbe In'!$AA$2:$CD$3,2)</f>
        <v>#VALUE!</v>
      </c>
      <c r="D354" s="267" t="e">
        <f ca="1">HLOOKUP(A354,'Courbe In'!$AA$2:$CD$7,5)</f>
        <v>#VALUE!</v>
      </c>
      <c r="E354" s="267" t="e">
        <f>HLOOKUP(A354,'Courbe In'!$AA$2:$CD$7,4)</f>
        <v>#VALUE!</v>
      </c>
      <c r="F354" s="267" t="e">
        <f ca="1">HLOOKUP(A354,'Courbe In'!$AA$2:$CD$7,6)</f>
        <v>#VALUE!</v>
      </c>
      <c r="G354" s="267" t="e">
        <f>HLOOKUP(A354,'Courbe In'!$AA$2:$CD$8,7)</f>
        <v>#VALUE!</v>
      </c>
      <c r="H354" s="267" t="e">
        <f>HLOOKUP(A354,'Courbe In'!$AA$2:$CD$9,8)</f>
        <v>#VALUE!</v>
      </c>
      <c r="I354" s="266"/>
      <c r="J354" s="327"/>
      <c r="K354" s="268"/>
      <c r="L354" s="267"/>
    </row>
    <row r="355" spans="1:12">
      <c r="A355" s="268">
        <f t="shared" si="5"/>
        <v>45690.840324074074</v>
      </c>
      <c r="B355" s="266"/>
      <c r="C355" s="267" t="e">
        <f>HLOOKUP(A355,'Courbe In'!$AA$2:$CD$3,2)</f>
        <v>#VALUE!</v>
      </c>
      <c r="D355" s="267" t="e">
        <f ca="1">HLOOKUP(A355,'Courbe In'!$AA$2:$CD$7,5)</f>
        <v>#VALUE!</v>
      </c>
      <c r="E355" s="267" t="e">
        <f>HLOOKUP(A355,'Courbe In'!$AA$2:$CD$7,4)</f>
        <v>#VALUE!</v>
      </c>
      <c r="F355" s="267" t="e">
        <f ca="1">HLOOKUP(A355,'Courbe In'!$AA$2:$CD$7,6)</f>
        <v>#VALUE!</v>
      </c>
      <c r="G355" s="267" t="e">
        <f>HLOOKUP(A355,'Courbe In'!$AA$2:$CD$8,7)</f>
        <v>#VALUE!</v>
      </c>
      <c r="H355" s="267" t="e">
        <f>HLOOKUP(A355,'Courbe In'!$AA$2:$CD$9,8)</f>
        <v>#VALUE!</v>
      </c>
      <c r="I355" s="266"/>
      <c r="J355" s="327"/>
      <c r="K355" s="268"/>
      <c r="L355" s="267"/>
    </row>
    <row r="356" spans="1:12">
      <c r="A356" s="268">
        <f t="shared" si="5"/>
        <v>45691.840324074074</v>
      </c>
      <c r="B356" s="266"/>
      <c r="C356" s="267" t="e">
        <f>HLOOKUP(A356,'Courbe In'!$AA$2:$CD$3,2)</f>
        <v>#VALUE!</v>
      </c>
      <c r="D356" s="267" t="e">
        <f ca="1">HLOOKUP(A356,'Courbe In'!$AA$2:$CD$7,5)</f>
        <v>#VALUE!</v>
      </c>
      <c r="E356" s="267" t="e">
        <f>HLOOKUP(A356,'Courbe In'!$AA$2:$CD$7,4)</f>
        <v>#VALUE!</v>
      </c>
      <c r="F356" s="267" t="e">
        <f ca="1">HLOOKUP(A356,'Courbe In'!$AA$2:$CD$7,6)</f>
        <v>#VALUE!</v>
      </c>
      <c r="G356" s="267" t="e">
        <f>HLOOKUP(A356,'Courbe In'!$AA$2:$CD$8,7)</f>
        <v>#VALUE!</v>
      </c>
      <c r="H356" s="267" t="e">
        <f>HLOOKUP(A356,'Courbe In'!$AA$2:$CD$9,8)</f>
        <v>#VALUE!</v>
      </c>
      <c r="I356" s="266"/>
      <c r="J356" s="327"/>
      <c r="K356" s="268"/>
      <c r="L356" s="267"/>
    </row>
    <row r="357" spans="1:12">
      <c r="A357" s="268">
        <f t="shared" si="5"/>
        <v>45692.840324074074</v>
      </c>
      <c r="B357" s="266"/>
      <c r="C357" s="267" t="e">
        <f>HLOOKUP(A357,'Courbe In'!$AA$2:$CD$3,2)</f>
        <v>#VALUE!</v>
      </c>
      <c r="D357" s="267" t="e">
        <f ca="1">HLOOKUP(A357,'Courbe In'!$AA$2:$CD$7,5)</f>
        <v>#VALUE!</v>
      </c>
      <c r="E357" s="267" t="e">
        <f>HLOOKUP(A357,'Courbe In'!$AA$2:$CD$7,4)</f>
        <v>#VALUE!</v>
      </c>
      <c r="F357" s="267" t="e">
        <f ca="1">HLOOKUP(A357,'Courbe In'!$AA$2:$CD$7,6)</f>
        <v>#VALUE!</v>
      </c>
      <c r="G357" s="267" t="e">
        <f>HLOOKUP(A357,'Courbe In'!$AA$2:$CD$8,7)</f>
        <v>#VALUE!</v>
      </c>
      <c r="H357" s="267" t="e">
        <f>HLOOKUP(A357,'Courbe In'!$AA$2:$CD$9,8)</f>
        <v>#VALUE!</v>
      </c>
      <c r="I357" s="266"/>
      <c r="J357" s="327"/>
      <c r="K357" s="268"/>
      <c r="L357" s="267"/>
    </row>
    <row r="358" spans="1:12">
      <c r="A358" s="268">
        <f t="shared" si="5"/>
        <v>45693.840324074074</v>
      </c>
      <c r="B358" s="266"/>
      <c r="C358" s="267" t="e">
        <f>HLOOKUP(A358,'Courbe In'!$AA$2:$CD$3,2)</f>
        <v>#VALUE!</v>
      </c>
      <c r="D358" s="267" t="e">
        <f ca="1">HLOOKUP(A358,'Courbe In'!$AA$2:$CD$7,5)</f>
        <v>#VALUE!</v>
      </c>
      <c r="E358" s="267" t="e">
        <f>HLOOKUP(A358,'Courbe In'!$AA$2:$CD$7,4)</f>
        <v>#VALUE!</v>
      </c>
      <c r="F358" s="267" t="e">
        <f ca="1">HLOOKUP(A358,'Courbe In'!$AA$2:$CD$7,6)</f>
        <v>#VALUE!</v>
      </c>
      <c r="G358" s="267" t="e">
        <f>HLOOKUP(A358,'Courbe In'!$AA$2:$CD$8,7)</f>
        <v>#VALUE!</v>
      </c>
      <c r="H358" s="267" t="e">
        <f>HLOOKUP(A358,'Courbe In'!$AA$2:$CD$9,8)</f>
        <v>#VALUE!</v>
      </c>
      <c r="I358" s="266"/>
      <c r="J358" s="327"/>
      <c r="K358" s="268"/>
      <c r="L358" s="267"/>
    </row>
    <row r="359" spans="1:12">
      <c r="A359" s="268">
        <f t="shared" si="5"/>
        <v>45694.840324074074</v>
      </c>
      <c r="B359" s="266"/>
      <c r="C359" s="267" t="e">
        <f>HLOOKUP(A359,'Courbe In'!$AA$2:$CD$3,2)</f>
        <v>#VALUE!</v>
      </c>
      <c r="D359" s="267" t="e">
        <f ca="1">HLOOKUP(A359,'Courbe In'!$AA$2:$CD$7,5)</f>
        <v>#VALUE!</v>
      </c>
      <c r="E359" s="267" t="e">
        <f>HLOOKUP(A359,'Courbe In'!$AA$2:$CD$7,4)</f>
        <v>#VALUE!</v>
      </c>
      <c r="F359" s="267" t="e">
        <f ca="1">HLOOKUP(A359,'Courbe In'!$AA$2:$CD$7,6)</f>
        <v>#VALUE!</v>
      </c>
      <c r="G359" s="267" t="e">
        <f>HLOOKUP(A359,'Courbe In'!$AA$2:$CD$8,7)</f>
        <v>#VALUE!</v>
      </c>
      <c r="H359" s="267" t="e">
        <f>HLOOKUP(A359,'Courbe In'!$AA$2:$CD$9,8)</f>
        <v>#VALUE!</v>
      </c>
      <c r="I359" s="266"/>
      <c r="J359" s="327"/>
      <c r="K359" s="268"/>
      <c r="L359" s="267"/>
    </row>
    <row r="360" spans="1:12">
      <c r="A360" s="268">
        <f t="shared" si="5"/>
        <v>45695.840324074074</v>
      </c>
      <c r="B360" s="266"/>
      <c r="C360" s="267" t="e">
        <f>HLOOKUP(A360,'Courbe In'!$AA$2:$CD$3,2)</f>
        <v>#VALUE!</v>
      </c>
      <c r="D360" s="267" t="e">
        <f ca="1">HLOOKUP(A360,'Courbe In'!$AA$2:$CD$7,5)</f>
        <v>#VALUE!</v>
      </c>
      <c r="E360" s="267" t="e">
        <f>HLOOKUP(A360,'Courbe In'!$AA$2:$CD$7,4)</f>
        <v>#VALUE!</v>
      </c>
      <c r="F360" s="267" t="e">
        <f ca="1">HLOOKUP(A360,'Courbe In'!$AA$2:$CD$7,6)</f>
        <v>#VALUE!</v>
      </c>
      <c r="G360" s="267" t="e">
        <f>HLOOKUP(A360,'Courbe In'!$AA$2:$CD$8,7)</f>
        <v>#VALUE!</v>
      </c>
      <c r="H360" s="267" t="e">
        <f>HLOOKUP(A360,'Courbe In'!$AA$2:$CD$9,8)</f>
        <v>#VALUE!</v>
      </c>
      <c r="I360" s="266"/>
      <c r="J360" s="327"/>
      <c r="K360" s="268"/>
      <c r="L360" s="267"/>
    </row>
    <row r="361" spans="1:12">
      <c r="A361" s="268">
        <f t="shared" si="5"/>
        <v>45696.840324074074</v>
      </c>
      <c r="B361" s="266"/>
      <c r="C361" s="267" t="e">
        <f>HLOOKUP(A361,'Courbe In'!$AA$2:$CD$3,2)</f>
        <v>#VALUE!</v>
      </c>
      <c r="D361" s="267" t="e">
        <f ca="1">HLOOKUP(A361,'Courbe In'!$AA$2:$CD$7,5)</f>
        <v>#VALUE!</v>
      </c>
      <c r="E361" s="267" t="e">
        <f>HLOOKUP(A361,'Courbe In'!$AA$2:$CD$7,4)</f>
        <v>#VALUE!</v>
      </c>
      <c r="F361" s="267" t="e">
        <f ca="1">HLOOKUP(A361,'Courbe In'!$AA$2:$CD$7,6)</f>
        <v>#VALUE!</v>
      </c>
      <c r="G361" s="267" t="e">
        <f>HLOOKUP(A361,'Courbe In'!$AA$2:$CD$8,7)</f>
        <v>#VALUE!</v>
      </c>
      <c r="H361" s="267" t="e">
        <f>HLOOKUP(A361,'Courbe In'!$AA$2:$CD$9,8)</f>
        <v>#VALUE!</v>
      </c>
      <c r="I361" s="266"/>
      <c r="J361" s="327"/>
      <c r="K361" s="268"/>
      <c r="L361" s="267"/>
    </row>
    <row r="362" spans="1:12">
      <c r="A362" s="268">
        <f t="shared" si="5"/>
        <v>45697.840324074074</v>
      </c>
      <c r="B362" s="266"/>
      <c r="C362" s="267" t="e">
        <f>HLOOKUP(A362,'Courbe In'!$AA$2:$CD$3,2)</f>
        <v>#VALUE!</v>
      </c>
      <c r="D362" s="267" t="e">
        <f ca="1">HLOOKUP(A362,'Courbe In'!$AA$2:$CD$7,5)</f>
        <v>#VALUE!</v>
      </c>
      <c r="E362" s="267" t="e">
        <f>HLOOKUP(A362,'Courbe In'!$AA$2:$CD$7,4)</f>
        <v>#VALUE!</v>
      </c>
      <c r="F362" s="267" t="e">
        <f ca="1">HLOOKUP(A362,'Courbe In'!$AA$2:$CD$7,6)</f>
        <v>#VALUE!</v>
      </c>
      <c r="G362" s="267" t="e">
        <f>HLOOKUP(A362,'Courbe In'!$AA$2:$CD$8,7)</f>
        <v>#VALUE!</v>
      </c>
      <c r="H362" s="267" t="e">
        <f>HLOOKUP(A362,'Courbe In'!$AA$2:$CD$9,8)</f>
        <v>#VALUE!</v>
      </c>
      <c r="I362" s="266"/>
      <c r="J362" s="327"/>
      <c r="K362" s="268"/>
      <c r="L362" s="267"/>
    </row>
    <row r="363" spans="1:12">
      <c r="A363" s="268">
        <f t="shared" si="5"/>
        <v>45698.840324074074</v>
      </c>
      <c r="B363" s="266"/>
      <c r="C363" s="267" t="e">
        <f>HLOOKUP(A363,'Courbe In'!$AA$2:$CD$3,2)</f>
        <v>#VALUE!</v>
      </c>
      <c r="D363" s="267" t="e">
        <f ca="1">HLOOKUP(A363,'Courbe In'!$AA$2:$CD$7,5)</f>
        <v>#VALUE!</v>
      </c>
      <c r="E363" s="267" t="e">
        <f>HLOOKUP(A363,'Courbe In'!$AA$2:$CD$7,4)</f>
        <v>#VALUE!</v>
      </c>
      <c r="F363" s="267" t="e">
        <f ca="1">HLOOKUP(A363,'Courbe In'!$AA$2:$CD$7,6)</f>
        <v>#VALUE!</v>
      </c>
      <c r="G363" s="267" t="e">
        <f>HLOOKUP(A363,'Courbe In'!$AA$2:$CD$8,7)</f>
        <v>#VALUE!</v>
      </c>
      <c r="H363" s="267" t="e">
        <f>HLOOKUP(A363,'Courbe In'!$AA$2:$CD$9,8)</f>
        <v>#VALUE!</v>
      </c>
      <c r="I363" s="266"/>
      <c r="J363" s="327"/>
      <c r="K363" s="268"/>
      <c r="L363" s="267"/>
    </row>
    <row r="364" spans="1:12">
      <c r="A364" s="268">
        <f t="shared" si="5"/>
        <v>45699.840324074074</v>
      </c>
      <c r="B364" s="266"/>
      <c r="C364" s="267" t="e">
        <f>HLOOKUP(A364,'Courbe In'!$AA$2:$CD$3,2)</f>
        <v>#VALUE!</v>
      </c>
      <c r="D364" s="267" t="e">
        <f ca="1">HLOOKUP(A364,'Courbe In'!$AA$2:$CD$7,5)</f>
        <v>#VALUE!</v>
      </c>
      <c r="E364" s="267" t="e">
        <f>HLOOKUP(A364,'Courbe In'!$AA$2:$CD$7,4)</f>
        <v>#VALUE!</v>
      </c>
      <c r="F364" s="267" t="e">
        <f ca="1">HLOOKUP(A364,'Courbe In'!$AA$2:$CD$7,6)</f>
        <v>#VALUE!</v>
      </c>
      <c r="G364" s="267" t="e">
        <f>HLOOKUP(A364,'Courbe In'!$AA$2:$CD$8,7)</f>
        <v>#VALUE!</v>
      </c>
      <c r="H364" s="267" t="e">
        <f>HLOOKUP(A364,'Courbe In'!$AA$2:$CD$9,8)</f>
        <v>#VALUE!</v>
      </c>
      <c r="I364" s="266"/>
      <c r="J364" s="327"/>
      <c r="K364" s="268"/>
      <c r="L364" s="267"/>
    </row>
    <row r="365" spans="1:12">
      <c r="A365" s="268">
        <f t="shared" si="5"/>
        <v>45700.840324074074</v>
      </c>
      <c r="B365" s="266"/>
      <c r="C365" s="267" t="e">
        <f>HLOOKUP(A365,'Courbe In'!$AA$2:$CD$3,2)</f>
        <v>#VALUE!</v>
      </c>
      <c r="D365" s="267" t="e">
        <f ca="1">HLOOKUP(A365,'Courbe In'!$AA$2:$CD$7,5)</f>
        <v>#VALUE!</v>
      </c>
      <c r="E365" s="267" t="e">
        <f>HLOOKUP(A365,'Courbe In'!$AA$2:$CD$7,4)</f>
        <v>#VALUE!</v>
      </c>
      <c r="F365" s="267" t="e">
        <f ca="1">HLOOKUP(A365,'Courbe In'!$AA$2:$CD$7,6)</f>
        <v>#VALUE!</v>
      </c>
      <c r="G365" s="267" t="e">
        <f>HLOOKUP(A365,'Courbe In'!$AA$2:$CD$8,7)</f>
        <v>#VALUE!</v>
      </c>
      <c r="H365" s="267" t="e">
        <f>HLOOKUP(A365,'Courbe In'!$AA$2:$CD$9,8)</f>
        <v>#VALUE!</v>
      </c>
      <c r="I365" s="266"/>
      <c r="J365" s="327"/>
      <c r="K365" s="268"/>
      <c r="L365" s="267"/>
    </row>
    <row r="366" spans="1:12">
      <c r="A366" s="268">
        <f>A365+1</f>
        <v>45701.840324074074</v>
      </c>
      <c r="B366" s="266"/>
      <c r="C366" s="267" t="e">
        <f>HLOOKUP(A366,'Courbe In'!$AA$2:$CD$3,2)</f>
        <v>#VALUE!</v>
      </c>
      <c r="D366" s="267" t="e">
        <f ca="1">HLOOKUP(A366,'Courbe In'!$AA$2:$CD$7,5)</f>
        <v>#VALUE!</v>
      </c>
      <c r="E366" s="267" t="e">
        <f>HLOOKUP(A366,'Courbe In'!$AA$2:$CD$7,4)</f>
        <v>#VALUE!</v>
      </c>
      <c r="F366" s="267" t="e">
        <f ca="1">HLOOKUP(A366,'Courbe In'!$AA$2:$CD$7,6)</f>
        <v>#VALUE!</v>
      </c>
      <c r="G366" s="267" t="e">
        <f>HLOOKUP(A366,'Courbe In'!$AA$2:$CD$8,7)</f>
        <v>#VALUE!</v>
      </c>
      <c r="H366" s="267" t="e">
        <f>HLOOKUP(A366,'Courbe In'!$AA$2:$CD$9,8)</f>
        <v>#VALUE!</v>
      </c>
      <c r="I366" s="266"/>
      <c r="J366" s="327"/>
      <c r="K366" s="268"/>
      <c r="L366" s="267"/>
    </row>
    <row r="367" spans="1:12">
      <c r="A367" s="268">
        <f>A366+1</f>
        <v>45702.840324074074</v>
      </c>
      <c r="B367" s="266"/>
      <c r="C367" s="267" t="e">
        <f>HLOOKUP(A367,'Courbe In'!$AA$2:$CD$3,2)</f>
        <v>#VALUE!</v>
      </c>
      <c r="D367" s="267" t="e">
        <f ca="1">HLOOKUP(A367,'Courbe In'!$AA$2:$CD$7,5)</f>
        <v>#VALUE!</v>
      </c>
      <c r="E367" s="267" t="e">
        <f>HLOOKUP(A367,'Courbe In'!$AA$2:$CD$7,4)</f>
        <v>#VALUE!</v>
      </c>
      <c r="F367" s="267" t="e">
        <f ca="1">HLOOKUP(A367,'Courbe In'!$AA$2:$CD$7,6)</f>
        <v>#VALUE!</v>
      </c>
      <c r="G367" s="267" t="e">
        <f>HLOOKUP(A367,'Courbe In'!$AA$2:$CD$8,7)</f>
        <v>#VALUE!</v>
      </c>
      <c r="H367" s="267" t="e">
        <f>HLOOKUP(A367,'Courbe In'!$AA$2:$CD$9,8)</f>
        <v>#VALUE!</v>
      </c>
      <c r="I367" s="266"/>
      <c r="J367" s="327"/>
      <c r="K367" s="268"/>
      <c r="L367" s="267"/>
    </row>
  </sheetData>
  <sheetProtection selectLockedCells="1" selectUnlockedCells="1"/>
  <pageMargins left="0.70866141732283472" right="0.70866141732283472" top="0.74803149606299213" bottom="0.74803149606299213" header="0.31496062992125984" footer="0.31496062992125984"/>
  <pageSetup paperSize="9" scale="44" orientation="landscape" horizontalDpi="4294967293" verticalDpi="0" r:id="rId1"/>
  <ignoredErrors>
    <ignoredError sqref="A3:A367 C5:H367 C2:D2 F2 D3 F3 D4 F4:H4" unlockedFormula="1"/>
    <ignoredError sqref="E2:E4 G2:H2 C3:C4 G3:H3" evalError="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03139" r:id="rId4" name="Button 3">
              <controlPr defaultSize="0" print="0" autoFill="0" autoPict="0" macro="[0]!SaisieCDP">
                <anchor moveWithCells="1" sizeWithCells="1">
                  <from>
                    <xdr:col>0</xdr:col>
                    <xdr:colOff>581025</xdr:colOff>
                    <xdr:row>0</xdr:row>
                    <xdr:rowOff>104775</xdr:rowOff>
                  </from>
                  <to>
                    <xdr:col>4</xdr:col>
                    <xdr:colOff>123825</xdr:colOff>
                    <xdr:row>2</xdr:row>
                    <xdr:rowOff>123825</xdr:rowOff>
                  </to>
                </anchor>
              </controlPr>
            </control>
          </mc:Choice>
        </mc:AlternateContent>
        <mc:AlternateContent xmlns:mc="http://schemas.openxmlformats.org/markup-compatibility/2006">
          <mc:Choice Requires="x14">
            <control shapeId="603140" r:id="rId5" name="Button 4">
              <controlPr defaultSize="0" print="0" autoFill="0" autoPict="0" macro="[0]!Accueil" altText="Accueil">
                <anchor moveWithCells="1" sizeWithCells="1">
                  <from>
                    <xdr:col>4</xdr:col>
                    <xdr:colOff>381000</xdr:colOff>
                    <xdr:row>0</xdr:row>
                    <xdr:rowOff>85725</xdr:rowOff>
                  </from>
                  <to>
                    <xdr:col>8</xdr:col>
                    <xdr:colOff>28575</xdr:colOff>
                    <xdr:row>2</xdr:row>
                    <xdr:rowOff>114300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le1"/>
  <dimension ref="A1:Q372"/>
  <sheetViews>
    <sheetView showGridLines="0" zoomScale="120" zoomScaleNormal="120" zoomScalePageLayoutView="120" workbookViewId="0">
      <selection activeCell="B7" sqref="B7"/>
    </sheetView>
  </sheetViews>
  <sheetFormatPr baseColWidth="10" defaultColWidth="10.85546875" defaultRowHeight="12.75"/>
  <cols>
    <col min="1" max="1" width="10.85546875" style="329"/>
    <col min="2" max="2" width="22.140625" style="329" customWidth="1"/>
    <col min="3" max="3" width="20.28515625" style="330" customWidth="1"/>
    <col min="4" max="4" width="16.7109375" style="329" bestFit="1" customWidth="1"/>
    <col min="5" max="5" width="10.85546875" style="329"/>
    <col min="6" max="6" width="11" style="276" bestFit="1" customWidth="1"/>
    <col min="7" max="7" width="19.42578125" style="454" bestFit="1" customWidth="1"/>
    <col min="8" max="8" width="11.85546875" style="276" bestFit="1" customWidth="1"/>
    <col min="9" max="9" width="10.85546875" style="276"/>
    <col min="10" max="10" width="10.85546875" style="438"/>
    <col min="11" max="12" width="10.85546875" style="276"/>
    <col min="13" max="16384" width="10.85546875" style="329"/>
  </cols>
  <sheetData>
    <row r="1" spans="1:17">
      <c r="A1" s="418"/>
      <c r="B1" s="418"/>
      <c r="C1" s="419"/>
      <c r="D1" s="418"/>
      <c r="E1" s="418"/>
      <c r="F1" s="418"/>
      <c r="G1" s="418"/>
      <c r="H1" s="418"/>
      <c r="I1" s="418"/>
      <c r="K1" s="418"/>
      <c r="L1" s="418"/>
      <c r="M1" s="437"/>
      <c r="N1" s="437"/>
      <c r="O1" s="437"/>
      <c r="P1" s="437"/>
      <c r="Q1" s="448"/>
    </row>
    <row r="2" spans="1:17">
      <c r="A2" s="422"/>
      <c r="B2" s="422"/>
      <c r="C2" s="423"/>
      <c r="D2" s="422"/>
      <c r="E2" s="422"/>
      <c r="F2" s="418"/>
      <c r="G2" s="418"/>
      <c r="H2" s="418"/>
      <c r="I2" s="418"/>
      <c r="K2" s="418"/>
      <c r="L2" s="418"/>
      <c r="M2" s="437"/>
      <c r="N2" s="437"/>
      <c r="O2" s="437"/>
      <c r="P2" s="437"/>
      <c r="Q2" s="448"/>
    </row>
    <row r="3" spans="1:17" s="274" customFormat="1" ht="27" customHeight="1">
      <c r="A3" s="424"/>
      <c r="B3" s="425" t="s">
        <v>737</v>
      </c>
      <c r="C3" s="425" t="s">
        <v>734</v>
      </c>
      <c r="D3" s="424"/>
      <c r="E3" s="424"/>
      <c r="F3" s="420"/>
      <c r="G3" s="420"/>
      <c r="H3" s="420"/>
      <c r="I3" s="420"/>
      <c r="J3" s="453"/>
      <c r="K3" s="420"/>
      <c r="L3" s="420"/>
      <c r="M3" s="449"/>
      <c r="N3" s="449"/>
      <c r="O3" s="449"/>
      <c r="P3" s="449"/>
      <c r="Q3" s="450"/>
    </row>
    <row r="4" spans="1:17" s="275" customFormat="1" ht="27" customHeight="1">
      <c r="A4" s="426"/>
      <c r="B4" s="427">
        <f ca="1">NOW()</f>
        <v>45337.840687384261</v>
      </c>
      <c r="C4" s="428">
        <v>1</v>
      </c>
      <c r="D4" s="426"/>
      <c r="E4" s="426"/>
      <c r="F4" s="421">
        <v>1</v>
      </c>
      <c r="G4" s="416">
        <f ca="1">B4</f>
        <v>45337.840687384261</v>
      </c>
      <c r="H4" s="436">
        <f ca="1">VLOOKUP(C4,F4:G64,2)</f>
        <v>45337.840687384261</v>
      </c>
      <c r="I4" s="421"/>
      <c r="J4" s="436"/>
      <c r="K4" s="421"/>
      <c r="L4" s="421"/>
      <c r="M4" s="451"/>
      <c r="N4" s="451"/>
      <c r="O4" s="449"/>
      <c r="P4" s="451"/>
      <c r="Q4" s="452"/>
    </row>
    <row r="5" spans="1:17" ht="27" customHeight="1">
      <c r="A5" s="422"/>
      <c r="B5" s="422"/>
      <c r="C5" s="423"/>
      <c r="D5" s="422"/>
      <c r="E5" s="422"/>
      <c r="F5" s="418">
        <v>2</v>
      </c>
      <c r="G5" s="417">
        <f ca="1">G4-1</f>
        <v>45336.840687384261</v>
      </c>
      <c r="H5" s="418">
        <f ca="1">SUM(H4-Accueil!B3+1)</f>
        <v>1.0003633101878222</v>
      </c>
      <c r="I5" s="418"/>
      <c r="K5" s="438"/>
      <c r="L5" s="438"/>
      <c r="M5" s="437"/>
      <c r="N5" s="437"/>
      <c r="O5" s="449"/>
      <c r="P5" s="437"/>
      <c r="Q5" s="448"/>
    </row>
    <row r="6" spans="1:17" ht="27" customHeight="1">
      <c r="A6" s="422"/>
      <c r="B6" s="429" t="s">
        <v>733</v>
      </c>
      <c r="C6" s="423"/>
      <c r="D6" s="422"/>
      <c r="E6" s="422"/>
      <c r="F6" s="418">
        <v>3</v>
      </c>
      <c r="G6" s="417">
        <f t="shared" ref="G6:G64" ca="1" si="0">G5-1</f>
        <v>45335.840687384261</v>
      </c>
      <c r="H6" s="418"/>
      <c r="I6" s="418"/>
      <c r="K6" s="418"/>
      <c r="L6" s="418"/>
      <c r="M6" s="437"/>
      <c r="N6" s="437"/>
      <c r="O6" s="449"/>
      <c r="P6" s="437"/>
      <c r="Q6" s="448"/>
    </row>
    <row r="7" spans="1:17" ht="27" customHeight="1">
      <c r="A7" s="418">
        <f>IF(T(B7)="",1,0)</f>
        <v>1</v>
      </c>
      <c r="B7" s="430">
        <f>Accueil!E3</f>
        <v>0</v>
      </c>
      <c r="C7" s="431" t="s">
        <v>726</v>
      </c>
      <c r="D7" s="422"/>
      <c r="E7" s="422"/>
      <c r="F7" s="421">
        <v>4</v>
      </c>
      <c r="G7" s="417">
        <f t="shared" ca="1" si="0"/>
        <v>45334.840687384261</v>
      </c>
      <c r="H7" s="418">
        <f ca="1">VLOOKUP(H4,J7:L372,3)</f>
        <v>1</v>
      </c>
      <c r="I7" s="418"/>
      <c r="J7" s="438">
        <f>(Feuil1!A2)</f>
        <v>45337.840324074074</v>
      </c>
      <c r="K7" s="418">
        <f>(Feuil1!B2)</f>
        <v>0</v>
      </c>
      <c r="L7" s="418">
        <v>1</v>
      </c>
      <c r="M7" s="437"/>
      <c r="N7" s="437"/>
      <c r="O7" s="449"/>
      <c r="P7" s="437"/>
      <c r="Q7" s="448"/>
    </row>
    <row r="8" spans="1:17" ht="27" customHeight="1">
      <c r="A8" s="422"/>
      <c r="B8" s="418" t="e">
        <f>SEARCH(".",B7)</f>
        <v>#VALUE!</v>
      </c>
      <c r="C8" s="423"/>
      <c r="D8" s="422"/>
      <c r="E8" s="422"/>
      <c r="F8" s="418">
        <v>5</v>
      </c>
      <c r="G8" s="417">
        <f t="shared" ca="1" si="0"/>
        <v>45333.840687384261</v>
      </c>
      <c r="H8" s="418"/>
      <c r="I8" s="418"/>
      <c r="J8" s="438">
        <f>(Feuil1!A3)</f>
        <v>45338.840324074074</v>
      </c>
      <c r="K8" s="418">
        <f>(Feuil1!B3)</f>
        <v>0</v>
      </c>
      <c r="L8" s="418">
        <v>2</v>
      </c>
      <c r="M8" s="437"/>
      <c r="N8" s="437"/>
      <c r="O8" s="437"/>
      <c r="P8" s="437"/>
      <c r="Q8" s="448"/>
    </row>
    <row r="9" spans="1:17" ht="27" customHeight="1">
      <c r="A9" s="422"/>
      <c r="B9" s="418" t="e">
        <f>LEFT(B7,B8-1)</f>
        <v>#VALUE!</v>
      </c>
      <c r="C9" s="423"/>
      <c r="D9" s="422"/>
      <c r="E9" s="422"/>
      <c r="F9" s="418">
        <v>6</v>
      </c>
      <c r="G9" s="417">
        <f t="shared" ca="1" si="0"/>
        <v>45332.840687384261</v>
      </c>
      <c r="H9" s="418"/>
      <c r="I9" s="418"/>
      <c r="J9" s="438">
        <f>(Feuil1!A4)</f>
        <v>45339.840324074074</v>
      </c>
      <c r="K9" s="418">
        <f>(Feuil1!B4)</f>
        <v>0</v>
      </c>
      <c r="L9" s="418">
        <v>3</v>
      </c>
      <c r="M9" s="437"/>
      <c r="N9" s="437"/>
      <c r="O9" s="437"/>
      <c r="P9" s="437"/>
      <c r="Q9" s="448"/>
    </row>
    <row r="10" spans="1:17" ht="14.25">
      <c r="A10" s="422"/>
      <c r="B10" s="418" t="e">
        <f>VALUE(B9)</f>
        <v>#VALUE!</v>
      </c>
      <c r="C10" s="423"/>
      <c r="D10" s="422"/>
      <c r="E10" s="422"/>
      <c r="F10" s="421">
        <v>7</v>
      </c>
      <c r="G10" s="417">
        <f t="shared" ca="1" si="0"/>
        <v>45331.840687384261</v>
      </c>
      <c r="H10" s="418"/>
      <c r="I10" s="418"/>
      <c r="J10" s="438">
        <f>(Feuil1!A5)</f>
        <v>45340.840324074074</v>
      </c>
      <c r="K10" s="418">
        <f>(Feuil1!B5)</f>
        <v>0</v>
      </c>
      <c r="L10" s="418">
        <v>4</v>
      </c>
      <c r="M10" s="437"/>
      <c r="N10" s="437"/>
      <c r="O10" s="437"/>
      <c r="P10" s="437"/>
      <c r="Q10" s="448"/>
    </row>
    <row r="11" spans="1:17">
      <c r="A11" s="422"/>
      <c r="B11" s="418">
        <f>LEN(B7)</f>
        <v>1</v>
      </c>
      <c r="C11" s="423"/>
      <c r="D11" s="422"/>
      <c r="E11" s="422"/>
      <c r="F11" s="418">
        <v>8</v>
      </c>
      <c r="G11" s="417">
        <f t="shared" ca="1" si="0"/>
        <v>45330.840687384261</v>
      </c>
      <c r="H11" s="418"/>
      <c r="I11" s="418"/>
      <c r="J11" s="438">
        <f>(Feuil1!A6)</f>
        <v>45341.840324074074</v>
      </c>
      <c r="K11" s="418">
        <f>(Feuil1!B6)</f>
        <v>0</v>
      </c>
      <c r="L11" s="418">
        <v>5</v>
      </c>
      <c r="M11" s="437"/>
      <c r="N11" s="437"/>
      <c r="O11" s="437"/>
      <c r="P11" s="437"/>
      <c r="Q11" s="448"/>
    </row>
    <row r="12" spans="1:17">
      <c r="A12" s="422"/>
      <c r="B12" s="418" t="e">
        <f>RIGHT(B7,B11-B8)</f>
        <v>#VALUE!</v>
      </c>
      <c r="C12" s="423"/>
      <c r="D12" s="422"/>
      <c r="E12" s="422"/>
      <c r="F12" s="418">
        <v>9</v>
      </c>
      <c r="G12" s="417">
        <f t="shared" ca="1" si="0"/>
        <v>45329.840687384261</v>
      </c>
      <c r="H12" s="418"/>
      <c r="I12" s="418"/>
      <c r="J12" s="438">
        <f>(Feuil1!A7)</f>
        <v>45342.840324074074</v>
      </c>
      <c r="K12" s="418">
        <f>(Feuil1!B7)</f>
        <v>0</v>
      </c>
      <c r="L12" s="418">
        <v>6</v>
      </c>
      <c r="M12" s="437"/>
      <c r="N12" s="437"/>
      <c r="O12" s="437"/>
      <c r="P12" s="437"/>
      <c r="Q12" s="448"/>
    </row>
    <row r="13" spans="1:17" ht="14.25">
      <c r="A13" s="422"/>
      <c r="B13" s="418" t="e">
        <f>VALUE(B12)/(10*(B11-B8))</f>
        <v>#VALUE!</v>
      </c>
      <c r="C13" s="423"/>
      <c r="D13" s="422"/>
      <c r="E13" s="422"/>
      <c r="F13" s="421">
        <v>10</v>
      </c>
      <c r="G13" s="417">
        <f t="shared" ca="1" si="0"/>
        <v>45328.840687384261</v>
      </c>
      <c r="H13" s="418"/>
      <c r="I13" s="418"/>
      <c r="J13" s="438">
        <f>(Feuil1!A8)</f>
        <v>45343.840324074074</v>
      </c>
      <c r="K13" s="418">
        <f>(Feuil1!B8)</f>
        <v>0</v>
      </c>
      <c r="L13" s="418">
        <v>7</v>
      </c>
      <c r="M13" s="437"/>
      <c r="N13" s="437"/>
      <c r="O13" s="437"/>
      <c r="P13" s="437"/>
      <c r="Q13" s="448"/>
    </row>
    <row r="14" spans="1:17">
      <c r="A14" s="422"/>
      <c r="B14" s="418" t="e">
        <f>B9+B13</f>
        <v>#VALUE!</v>
      </c>
      <c r="C14" s="423"/>
      <c r="D14" s="422"/>
      <c r="E14" s="422"/>
      <c r="F14" s="418">
        <v>11</v>
      </c>
      <c r="G14" s="417">
        <f t="shared" ca="1" si="0"/>
        <v>45327.840687384261</v>
      </c>
      <c r="H14" s="418"/>
      <c r="I14" s="418"/>
      <c r="J14" s="438">
        <f>(Feuil1!A9)</f>
        <v>45344.840324074074</v>
      </c>
      <c r="K14" s="418">
        <f>(Feuil1!B9)</f>
        <v>0</v>
      </c>
      <c r="L14" s="418">
        <v>8</v>
      </c>
      <c r="M14" s="437"/>
      <c r="N14" s="437"/>
      <c r="O14" s="437"/>
      <c r="P14" s="437"/>
      <c r="Q14" s="448"/>
    </row>
    <row r="15" spans="1:17">
      <c r="A15" s="422"/>
      <c r="B15" s="422"/>
      <c r="C15" s="423"/>
      <c r="D15" s="422"/>
      <c r="E15" s="422"/>
      <c r="F15" s="418">
        <v>12</v>
      </c>
      <c r="G15" s="417">
        <f t="shared" ca="1" si="0"/>
        <v>45326.840687384261</v>
      </c>
      <c r="H15" s="418"/>
      <c r="I15" s="418"/>
      <c r="J15" s="438">
        <f>(Feuil1!A10)</f>
        <v>45345.840324074074</v>
      </c>
      <c r="K15" s="418">
        <f>(Feuil1!B10)</f>
        <v>0</v>
      </c>
      <c r="L15" s="418">
        <v>9</v>
      </c>
      <c r="M15" s="437"/>
      <c r="N15" s="437"/>
      <c r="O15" s="437"/>
      <c r="P15" s="437"/>
      <c r="Q15" s="448"/>
    </row>
    <row r="16" spans="1:17" ht="14.25">
      <c r="A16" s="422"/>
      <c r="B16" s="512" t="s">
        <v>773</v>
      </c>
      <c r="C16" s="513"/>
      <c r="D16" s="518" t="s">
        <v>72</v>
      </c>
      <c r="E16" s="432"/>
      <c r="F16" s="421">
        <v>13</v>
      </c>
      <c r="G16" s="417">
        <f t="shared" ca="1" si="0"/>
        <v>45325.840687384261</v>
      </c>
      <c r="H16" s="418"/>
      <c r="I16" s="418"/>
      <c r="J16" s="438">
        <f>(Feuil1!A11)</f>
        <v>45346.840324074074</v>
      </c>
      <c r="K16" s="418">
        <f>(Feuil1!B11)</f>
        <v>0</v>
      </c>
      <c r="L16" s="418">
        <v>10</v>
      </c>
      <c r="M16" s="437"/>
      <c r="N16" s="437"/>
      <c r="O16" s="437"/>
      <c r="P16" s="437"/>
      <c r="Q16" s="448"/>
    </row>
    <row r="17" spans="1:17" ht="18">
      <c r="A17" s="422"/>
      <c r="B17" s="514"/>
      <c r="C17" s="515"/>
      <c r="D17" s="519"/>
      <c r="E17" s="433" t="str">
        <f>IF(ISNUMBER(D16),"KG","")</f>
        <v/>
      </c>
      <c r="F17" s="418">
        <v>14</v>
      </c>
      <c r="G17" s="417">
        <f t="shared" ca="1" si="0"/>
        <v>45324.840687384261</v>
      </c>
      <c r="H17" s="418"/>
      <c r="I17" s="418"/>
      <c r="J17" s="438">
        <f>(Feuil1!A12)</f>
        <v>45347.840324074074</v>
      </c>
      <c r="K17" s="418">
        <f>(Feuil1!B12)</f>
        <v>0</v>
      </c>
      <c r="L17" s="418">
        <v>11</v>
      </c>
      <c r="M17" s="437"/>
      <c r="N17" s="437"/>
      <c r="O17" s="437"/>
      <c r="P17" s="437"/>
      <c r="Q17" s="448"/>
    </row>
    <row r="18" spans="1:17">
      <c r="A18" s="422"/>
      <c r="B18" s="516"/>
      <c r="C18" s="517"/>
      <c r="D18" s="520"/>
      <c r="E18" s="434"/>
      <c r="F18" s="418">
        <v>15</v>
      </c>
      <c r="G18" s="417">
        <f t="shared" ca="1" si="0"/>
        <v>45323.840687384261</v>
      </c>
      <c r="H18" s="418"/>
      <c r="I18" s="418"/>
      <c r="J18" s="438">
        <f>(Feuil1!A13)</f>
        <v>45348.840324074074</v>
      </c>
      <c r="K18" s="418">
        <f>(Feuil1!B13)</f>
        <v>0</v>
      </c>
      <c r="L18" s="418">
        <v>12</v>
      </c>
      <c r="M18" s="437"/>
      <c r="N18" s="437"/>
      <c r="O18" s="437"/>
      <c r="P18" s="437"/>
      <c r="Q18" s="448"/>
    </row>
    <row r="19" spans="1:17" ht="14.25">
      <c r="A19" s="422"/>
      <c r="B19" s="422"/>
      <c r="C19" s="423"/>
      <c r="D19" s="435"/>
      <c r="E19" s="435"/>
      <c r="F19" s="421">
        <v>16</v>
      </c>
      <c r="G19" s="417">
        <f t="shared" ca="1" si="0"/>
        <v>45322.840687384261</v>
      </c>
      <c r="H19" s="418"/>
      <c r="I19" s="418"/>
      <c r="J19" s="438">
        <f>(Feuil1!A14)</f>
        <v>45349.840324074074</v>
      </c>
      <c r="K19" s="418">
        <f>(Feuil1!B14)</f>
        <v>0</v>
      </c>
      <c r="L19" s="418">
        <v>13</v>
      </c>
      <c r="M19" s="437"/>
      <c r="N19" s="437"/>
      <c r="O19" s="437"/>
      <c r="P19" s="437"/>
      <c r="Q19" s="448"/>
    </row>
    <row r="20" spans="1:17">
      <c r="A20" s="422"/>
      <c r="B20" s="422"/>
      <c r="C20" s="423"/>
      <c r="D20" s="422"/>
      <c r="E20" s="422"/>
      <c r="F20" s="418">
        <v>17</v>
      </c>
      <c r="G20" s="417">
        <f t="shared" ca="1" si="0"/>
        <v>45321.840687384261</v>
      </c>
      <c r="H20" s="418"/>
      <c r="I20" s="418"/>
      <c r="J20" s="438">
        <f>(Feuil1!A15)</f>
        <v>45350.840324074074</v>
      </c>
      <c r="K20" s="418">
        <f>(Feuil1!B15)</f>
        <v>0</v>
      </c>
      <c r="L20" s="418">
        <v>14</v>
      </c>
      <c r="M20" s="437"/>
      <c r="N20" s="437"/>
      <c r="O20" s="437"/>
      <c r="P20" s="437"/>
      <c r="Q20" s="448"/>
    </row>
    <row r="21" spans="1:17">
      <c r="A21" s="422"/>
      <c r="B21" s="422"/>
      <c r="C21" s="423"/>
      <c r="D21" s="422"/>
      <c r="E21" s="422"/>
      <c r="F21" s="418">
        <v>18</v>
      </c>
      <c r="G21" s="417">
        <f t="shared" ca="1" si="0"/>
        <v>45320.840687384261</v>
      </c>
      <c r="H21" s="418"/>
      <c r="I21" s="418"/>
      <c r="J21" s="438">
        <f>(Feuil1!A16)</f>
        <v>45351.840324074074</v>
      </c>
      <c r="K21" s="418">
        <f>(Feuil1!B16)</f>
        <v>0</v>
      </c>
      <c r="L21" s="418">
        <v>15</v>
      </c>
      <c r="M21" s="437"/>
      <c r="N21" s="437"/>
      <c r="O21" s="437"/>
      <c r="P21" s="437"/>
      <c r="Q21" s="448"/>
    </row>
    <row r="22" spans="1:17" ht="14.25">
      <c r="A22" s="422"/>
      <c r="B22" s="422"/>
      <c r="C22" s="423"/>
      <c r="D22" s="422"/>
      <c r="E22" s="422"/>
      <c r="F22" s="421">
        <v>19</v>
      </c>
      <c r="G22" s="417">
        <f t="shared" ca="1" si="0"/>
        <v>45319.840687384261</v>
      </c>
      <c r="H22" s="418"/>
      <c r="I22" s="418"/>
      <c r="J22" s="438">
        <f>(Feuil1!A17)</f>
        <v>45352.840324074074</v>
      </c>
      <c r="K22" s="418">
        <f>(Feuil1!B17)</f>
        <v>0</v>
      </c>
      <c r="L22" s="418">
        <v>16</v>
      </c>
      <c r="M22" s="437"/>
      <c r="N22" s="437"/>
      <c r="O22" s="437"/>
      <c r="P22" s="437"/>
      <c r="Q22" s="448"/>
    </row>
    <row r="23" spans="1:17">
      <c r="A23" s="422"/>
      <c r="B23" s="422"/>
      <c r="C23" s="423"/>
      <c r="D23" s="422"/>
      <c r="E23" s="422"/>
      <c r="F23" s="418">
        <v>20</v>
      </c>
      <c r="G23" s="417">
        <f t="shared" ca="1" si="0"/>
        <v>45318.840687384261</v>
      </c>
      <c r="H23" s="418"/>
      <c r="I23" s="418"/>
      <c r="J23" s="438">
        <f>(Feuil1!A18)</f>
        <v>45353.840324074074</v>
      </c>
      <c r="K23" s="418">
        <f>(Feuil1!B18)</f>
        <v>0</v>
      </c>
      <c r="L23" s="418">
        <v>17</v>
      </c>
      <c r="M23" s="437"/>
      <c r="N23" s="437"/>
      <c r="O23" s="437"/>
      <c r="P23" s="437"/>
      <c r="Q23" s="448"/>
    </row>
    <row r="24" spans="1:17">
      <c r="A24" s="422"/>
      <c r="B24" s="422"/>
      <c r="C24" s="423"/>
      <c r="D24" s="422"/>
      <c r="E24" s="422"/>
      <c r="F24" s="418">
        <v>21</v>
      </c>
      <c r="G24" s="417">
        <f t="shared" ca="1" si="0"/>
        <v>45317.840687384261</v>
      </c>
      <c r="H24" s="418"/>
      <c r="I24" s="418"/>
      <c r="J24" s="438">
        <f>(Feuil1!A19)</f>
        <v>45354.840324074074</v>
      </c>
      <c r="K24" s="418">
        <f>(Feuil1!B19)</f>
        <v>0</v>
      </c>
      <c r="L24" s="418">
        <v>18</v>
      </c>
      <c r="M24" s="437"/>
      <c r="N24" s="437"/>
      <c r="O24" s="437"/>
      <c r="P24" s="437"/>
      <c r="Q24" s="448"/>
    </row>
    <row r="25" spans="1:17" ht="14.25">
      <c r="A25" s="418"/>
      <c r="B25" s="418"/>
      <c r="C25" s="419"/>
      <c r="D25" s="418"/>
      <c r="E25" s="418"/>
      <c r="F25" s="421">
        <v>22</v>
      </c>
      <c r="G25" s="417">
        <f t="shared" ca="1" si="0"/>
        <v>45316.840687384261</v>
      </c>
      <c r="H25" s="418"/>
      <c r="I25" s="418"/>
      <c r="J25" s="438">
        <f>(Feuil1!A20)</f>
        <v>45355.840324074074</v>
      </c>
      <c r="K25" s="418">
        <f>(Feuil1!B20)</f>
        <v>0</v>
      </c>
      <c r="L25" s="418">
        <v>19</v>
      </c>
      <c r="M25" s="437"/>
      <c r="N25" s="437"/>
      <c r="O25" s="437"/>
      <c r="P25" s="437"/>
      <c r="Q25" s="448"/>
    </row>
    <row r="26" spans="1:17">
      <c r="A26" s="418"/>
      <c r="B26" s="418"/>
      <c r="C26" s="419"/>
      <c r="D26" s="418"/>
      <c r="E26" s="418"/>
      <c r="F26" s="418">
        <v>23</v>
      </c>
      <c r="G26" s="417">
        <f t="shared" ca="1" si="0"/>
        <v>45315.840687384261</v>
      </c>
      <c r="H26" s="418"/>
      <c r="I26" s="418"/>
      <c r="J26" s="438">
        <f>(Feuil1!A21)</f>
        <v>45356.840324074074</v>
      </c>
      <c r="K26" s="418">
        <f>(Feuil1!B21)</f>
        <v>0</v>
      </c>
      <c r="L26" s="418">
        <v>20</v>
      </c>
      <c r="M26" s="437"/>
      <c r="N26" s="437"/>
      <c r="O26" s="437"/>
      <c r="P26" s="437"/>
      <c r="Q26" s="448"/>
    </row>
    <row r="27" spans="1:17">
      <c r="A27" s="418"/>
      <c r="B27" s="418"/>
      <c r="C27" s="419"/>
      <c r="D27" s="418"/>
      <c r="E27" s="418"/>
      <c r="F27" s="418">
        <v>24</v>
      </c>
      <c r="G27" s="417">
        <f t="shared" ca="1" si="0"/>
        <v>45314.840687384261</v>
      </c>
      <c r="H27" s="418"/>
      <c r="I27" s="418"/>
      <c r="J27" s="438">
        <f>(Feuil1!A22)</f>
        <v>45357.840324074074</v>
      </c>
      <c r="K27" s="418">
        <f>(Feuil1!B22)</f>
        <v>0</v>
      </c>
      <c r="L27" s="418">
        <v>21</v>
      </c>
      <c r="M27" s="437"/>
      <c r="N27" s="437"/>
      <c r="O27" s="437"/>
      <c r="P27" s="437"/>
      <c r="Q27" s="448"/>
    </row>
    <row r="28" spans="1:17" ht="14.25">
      <c r="A28" s="276"/>
      <c r="B28" s="276"/>
      <c r="C28" s="415"/>
      <c r="D28" s="276"/>
      <c r="E28" s="276"/>
      <c r="F28" s="277">
        <v>25</v>
      </c>
      <c r="G28" s="417">
        <f t="shared" ca="1" si="0"/>
        <v>45313.840687384261</v>
      </c>
      <c r="J28" s="438">
        <f>(Feuil1!A23)</f>
        <v>45358.840324074074</v>
      </c>
      <c r="K28" s="418">
        <f>(Feuil1!B23)</f>
        <v>0</v>
      </c>
      <c r="L28" s="418">
        <v>22</v>
      </c>
      <c r="M28" s="448"/>
      <c r="N28" s="448"/>
      <c r="O28" s="448"/>
      <c r="P28" s="448"/>
      <c r="Q28" s="448"/>
    </row>
    <row r="29" spans="1:17">
      <c r="A29" s="276"/>
      <c r="B29" s="276"/>
      <c r="C29" s="415"/>
      <c r="D29" s="276"/>
      <c r="E29" s="276"/>
      <c r="F29" s="276">
        <v>26</v>
      </c>
      <c r="G29" s="417">
        <f t="shared" ca="1" si="0"/>
        <v>45312.840687384261</v>
      </c>
      <c r="J29" s="438">
        <f>(Feuil1!A24)</f>
        <v>45359.840324074074</v>
      </c>
      <c r="K29" s="418">
        <f>(Feuil1!B24)</f>
        <v>0</v>
      </c>
      <c r="L29" s="418">
        <v>23</v>
      </c>
      <c r="M29" s="448"/>
      <c r="N29" s="448"/>
      <c r="O29" s="448"/>
      <c r="P29" s="448"/>
      <c r="Q29" s="448"/>
    </row>
    <row r="30" spans="1:17">
      <c r="A30" s="276"/>
      <c r="B30" s="276"/>
      <c r="C30" s="415"/>
      <c r="D30" s="276"/>
      <c r="E30" s="276"/>
      <c r="F30" s="276">
        <v>27</v>
      </c>
      <c r="G30" s="417">
        <f t="shared" ca="1" si="0"/>
        <v>45311.840687384261</v>
      </c>
      <c r="J30" s="438">
        <f>(Feuil1!A25)</f>
        <v>45360.840324074074</v>
      </c>
      <c r="K30" s="418">
        <f>(Feuil1!B25)</f>
        <v>0</v>
      </c>
      <c r="L30" s="418">
        <v>24</v>
      </c>
      <c r="M30" s="448"/>
      <c r="N30" s="448"/>
      <c r="O30" s="448"/>
      <c r="P30" s="448"/>
      <c r="Q30" s="448"/>
    </row>
    <row r="31" spans="1:17" ht="14.25">
      <c r="A31" s="276"/>
      <c r="B31" s="276"/>
      <c r="C31" s="415"/>
      <c r="D31" s="276"/>
      <c r="E31" s="276"/>
      <c r="F31" s="277">
        <v>28</v>
      </c>
      <c r="G31" s="417">
        <f t="shared" ca="1" si="0"/>
        <v>45310.840687384261</v>
      </c>
      <c r="J31" s="438">
        <f>(Feuil1!A26)</f>
        <v>45361.840324074074</v>
      </c>
      <c r="K31" s="418">
        <f>(Feuil1!B26)</f>
        <v>0</v>
      </c>
      <c r="L31" s="418">
        <v>25</v>
      </c>
      <c r="M31" s="448"/>
      <c r="N31" s="448"/>
      <c r="O31" s="448"/>
      <c r="P31" s="448"/>
      <c r="Q31" s="448"/>
    </row>
    <row r="32" spans="1:17">
      <c r="A32" s="276"/>
      <c r="B32" s="276"/>
      <c r="C32" s="415"/>
      <c r="D32" s="276"/>
      <c r="E32" s="276"/>
      <c r="F32" s="276">
        <v>29</v>
      </c>
      <c r="G32" s="417">
        <f t="shared" ca="1" si="0"/>
        <v>45309.840687384261</v>
      </c>
      <c r="J32" s="438">
        <f>(Feuil1!A27)</f>
        <v>45362.840324074074</v>
      </c>
      <c r="K32" s="418">
        <f>(Feuil1!B27)</f>
        <v>0</v>
      </c>
      <c r="L32" s="418">
        <v>26</v>
      </c>
      <c r="M32" s="448"/>
      <c r="N32" s="448"/>
      <c r="O32" s="448"/>
      <c r="P32" s="448"/>
      <c r="Q32" s="448"/>
    </row>
    <row r="33" spans="1:17">
      <c r="A33" s="276"/>
      <c r="B33" s="276"/>
      <c r="C33" s="415"/>
      <c r="D33" s="276"/>
      <c r="E33" s="276"/>
      <c r="F33" s="276">
        <v>30</v>
      </c>
      <c r="G33" s="278">
        <f t="shared" ca="1" si="0"/>
        <v>45308.840687384261</v>
      </c>
      <c r="J33" s="438">
        <f>(Feuil1!A28)</f>
        <v>45363.840324074074</v>
      </c>
      <c r="K33" s="418">
        <f>(Feuil1!B28)</f>
        <v>0</v>
      </c>
      <c r="L33" s="418">
        <v>27</v>
      </c>
      <c r="M33" s="448"/>
      <c r="N33" s="448"/>
      <c r="O33" s="448"/>
      <c r="P33" s="448"/>
      <c r="Q33" s="448"/>
    </row>
    <row r="34" spans="1:17" ht="14.25">
      <c r="F34" s="277">
        <v>31</v>
      </c>
      <c r="G34" s="278">
        <f t="shared" ca="1" si="0"/>
        <v>45307.840687384261</v>
      </c>
      <c r="J34" s="438">
        <f>(Feuil1!A29)</f>
        <v>45364.840324074074</v>
      </c>
      <c r="K34" s="418">
        <f>(Feuil1!B29)</f>
        <v>0</v>
      </c>
      <c r="L34" s="418">
        <v>28</v>
      </c>
      <c r="M34" s="448"/>
      <c r="N34" s="448"/>
      <c r="O34" s="448"/>
      <c r="P34" s="448"/>
      <c r="Q34" s="448"/>
    </row>
    <row r="35" spans="1:17">
      <c r="F35" s="276">
        <v>32</v>
      </c>
      <c r="G35" s="278">
        <f t="shared" ca="1" si="0"/>
        <v>45306.840687384261</v>
      </c>
      <c r="J35" s="438">
        <f>(Feuil1!A30)</f>
        <v>45365.840324074074</v>
      </c>
      <c r="K35" s="418">
        <f>(Feuil1!B30)</f>
        <v>0</v>
      </c>
      <c r="L35" s="418">
        <v>29</v>
      </c>
      <c r="M35" s="448"/>
      <c r="N35" s="448"/>
      <c r="O35" s="448"/>
      <c r="P35" s="448"/>
      <c r="Q35" s="448"/>
    </row>
    <row r="36" spans="1:17">
      <c r="F36" s="276">
        <v>33</v>
      </c>
      <c r="G36" s="278">
        <f t="shared" ca="1" si="0"/>
        <v>45305.840687384261</v>
      </c>
      <c r="J36" s="438">
        <f>(Feuil1!A31)</f>
        <v>45366.840324074074</v>
      </c>
      <c r="K36" s="418">
        <f>(Feuil1!B31)</f>
        <v>0</v>
      </c>
      <c r="L36" s="418">
        <v>30</v>
      </c>
      <c r="M36" s="448"/>
      <c r="N36" s="448"/>
      <c r="O36" s="448"/>
      <c r="P36" s="448"/>
      <c r="Q36" s="448"/>
    </row>
    <row r="37" spans="1:17" ht="14.25">
      <c r="F37" s="277">
        <v>34</v>
      </c>
      <c r="G37" s="278">
        <f t="shared" ca="1" si="0"/>
        <v>45304.840687384261</v>
      </c>
      <c r="J37" s="438">
        <f>(Feuil1!A32)</f>
        <v>45367.840324074074</v>
      </c>
      <c r="K37" s="418">
        <f>(Feuil1!B32)</f>
        <v>0</v>
      </c>
      <c r="L37" s="418">
        <v>31</v>
      </c>
      <c r="M37" s="448"/>
      <c r="N37" s="448"/>
      <c r="O37" s="448"/>
      <c r="P37" s="448"/>
      <c r="Q37" s="448"/>
    </row>
    <row r="38" spans="1:17">
      <c r="F38" s="276">
        <v>35</v>
      </c>
      <c r="G38" s="278">
        <f t="shared" ca="1" si="0"/>
        <v>45303.840687384261</v>
      </c>
      <c r="J38" s="438">
        <f>(Feuil1!A33)</f>
        <v>45368.840324074074</v>
      </c>
      <c r="K38" s="418">
        <f>(Feuil1!B33)</f>
        <v>0</v>
      </c>
      <c r="L38" s="418">
        <v>32</v>
      </c>
      <c r="M38" s="448"/>
      <c r="N38" s="448"/>
      <c r="O38" s="448"/>
      <c r="P38" s="448"/>
      <c r="Q38" s="448"/>
    </row>
    <row r="39" spans="1:17">
      <c r="F39" s="276">
        <v>36</v>
      </c>
      <c r="G39" s="278">
        <f t="shared" ca="1" si="0"/>
        <v>45302.840687384261</v>
      </c>
      <c r="J39" s="438">
        <f>(Feuil1!A34)</f>
        <v>45369.840324074074</v>
      </c>
      <c r="K39" s="418">
        <f>(Feuil1!B34)</f>
        <v>0</v>
      </c>
      <c r="L39" s="418">
        <v>33</v>
      </c>
      <c r="M39" s="448"/>
      <c r="N39" s="448"/>
      <c r="O39" s="448"/>
      <c r="P39" s="448"/>
      <c r="Q39" s="448"/>
    </row>
    <row r="40" spans="1:17" ht="14.25">
      <c r="F40" s="277">
        <v>37</v>
      </c>
      <c r="G40" s="278">
        <f t="shared" ca="1" si="0"/>
        <v>45301.840687384261</v>
      </c>
      <c r="J40" s="438">
        <f>(Feuil1!A35)</f>
        <v>45370.840324074074</v>
      </c>
      <c r="K40" s="418">
        <f>(Feuil1!B35)</f>
        <v>0</v>
      </c>
      <c r="L40" s="418">
        <v>34</v>
      </c>
      <c r="M40" s="448"/>
      <c r="N40" s="448"/>
      <c r="O40" s="448"/>
      <c r="P40" s="448"/>
      <c r="Q40" s="448"/>
    </row>
    <row r="41" spans="1:17">
      <c r="F41" s="276">
        <v>38</v>
      </c>
      <c r="G41" s="278">
        <f t="shared" ca="1" si="0"/>
        <v>45300.840687384261</v>
      </c>
      <c r="J41" s="438">
        <f>(Feuil1!A36)</f>
        <v>45371.840324074074</v>
      </c>
      <c r="K41" s="418">
        <f>(Feuil1!B36)</f>
        <v>0</v>
      </c>
      <c r="L41" s="418">
        <v>35</v>
      </c>
      <c r="M41" s="448"/>
      <c r="N41" s="448"/>
      <c r="O41" s="448"/>
      <c r="P41" s="448"/>
      <c r="Q41" s="448"/>
    </row>
    <row r="42" spans="1:17">
      <c r="F42" s="276">
        <v>39</v>
      </c>
      <c r="G42" s="278">
        <f t="shared" ca="1" si="0"/>
        <v>45299.840687384261</v>
      </c>
      <c r="J42" s="438">
        <f>(Feuil1!A37)</f>
        <v>45372.840324074074</v>
      </c>
      <c r="K42" s="418">
        <f>(Feuil1!B37)</f>
        <v>0</v>
      </c>
      <c r="L42" s="418">
        <v>36</v>
      </c>
      <c r="M42" s="448"/>
      <c r="N42" s="448"/>
      <c r="O42" s="448"/>
      <c r="P42" s="448"/>
      <c r="Q42" s="448"/>
    </row>
    <row r="43" spans="1:17" ht="14.25">
      <c r="F43" s="277">
        <v>40</v>
      </c>
      <c r="G43" s="278">
        <f t="shared" ca="1" si="0"/>
        <v>45298.840687384261</v>
      </c>
      <c r="J43" s="438">
        <f>(Feuil1!A38)</f>
        <v>45373.840324074074</v>
      </c>
      <c r="K43" s="418">
        <f>(Feuil1!B38)</f>
        <v>0</v>
      </c>
      <c r="L43" s="418">
        <v>37</v>
      </c>
      <c r="M43" s="448"/>
      <c r="N43" s="448"/>
      <c r="O43" s="448"/>
      <c r="P43" s="448"/>
      <c r="Q43" s="448"/>
    </row>
    <row r="44" spans="1:17">
      <c r="F44" s="276">
        <v>41</v>
      </c>
      <c r="G44" s="278">
        <f t="shared" ca="1" si="0"/>
        <v>45297.840687384261</v>
      </c>
      <c r="J44" s="438">
        <f>(Feuil1!A39)</f>
        <v>45374.840324074074</v>
      </c>
      <c r="K44" s="418">
        <f>(Feuil1!B39)</f>
        <v>0</v>
      </c>
      <c r="L44" s="418">
        <v>38</v>
      </c>
      <c r="M44" s="448"/>
      <c r="N44" s="448"/>
      <c r="O44" s="448"/>
      <c r="P44" s="448"/>
      <c r="Q44" s="448"/>
    </row>
    <row r="45" spans="1:17">
      <c r="F45" s="276">
        <v>42</v>
      </c>
      <c r="G45" s="278">
        <f t="shared" ca="1" si="0"/>
        <v>45296.840687384261</v>
      </c>
      <c r="J45" s="438">
        <f>(Feuil1!A40)</f>
        <v>45375.840324074074</v>
      </c>
      <c r="K45" s="418">
        <f>(Feuil1!B40)</f>
        <v>0</v>
      </c>
      <c r="L45" s="418">
        <v>39</v>
      </c>
      <c r="M45" s="448"/>
      <c r="N45" s="448"/>
      <c r="O45" s="448"/>
      <c r="P45" s="448"/>
      <c r="Q45" s="448"/>
    </row>
    <row r="46" spans="1:17" ht="14.25">
      <c r="F46" s="277">
        <v>43</v>
      </c>
      <c r="G46" s="278">
        <f t="shared" ca="1" si="0"/>
        <v>45295.840687384261</v>
      </c>
      <c r="J46" s="438">
        <f>(Feuil1!A41)</f>
        <v>45376.840324074074</v>
      </c>
      <c r="K46" s="418">
        <f>(Feuil1!B41)</f>
        <v>0</v>
      </c>
      <c r="L46" s="418">
        <v>40</v>
      </c>
      <c r="M46" s="448"/>
      <c r="N46" s="448"/>
      <c r="O46" s="448"/>
      <c r="P46" s="448"/>
      <c r="Q46" s="448"/>
    </row>
    <row r="47" spans="1:17">
      <c r="F47" s="276">
        <v>44</v>
      </c>
      <c r="G47" s="278">
        <f t="shared" ca="1" si="0"/>
        <v>45294.840687384261</v>
      </c>
      <c r="J47" s="438">
        <f>(Feuil1!A42)</f>
        <v>45377.840324074074</v>
      </c>
      <c r="K47" s="418">
        <f>(Feuil1!B42)</f>
        <v>0</v>
      </c>
      <c r="L47" s="418">
        <v>41</v>
      </c>
      <c r="M47" s="448"/>
      <c r="N47" s="448"/>
      <c r="O47" s="448"/>
      <c r="P47" s="448"/>
      <c r="Q47" s="448"/>
    </row>
    <row r="48" spans="1:17">
      <c r="F48" s="276">
        <v>45</v>
      </c>
      <c r="G48" s="278">
        <f t="shared" ca="1" si="0"/>
        <v>45293.840687384261</v>
      </c>
      <c r="J48" s="438">
        <f>(Feuil1!A43)</f>
        <v>45378.840324074074</v>
      </c>
      <c r="K48" s="418">
        <f>(Feuil1!B43)</f>
        <v>0</v>
      </c>
      <c r="L48" s="418">
        <v>42</v>
      </c>
      <c r="M48" s="448"/>
      <c r="N48" s="448"/>
      <c r="O48" s="448"/>
      <c r="P48" s="448"/>
      <c r="Q48" s="448"/>
    </row>
    <row r="49" spans="6:17" ht="14.25">
      <c r="F49" s="277">
        <v>46</v>
      </c>
      <c r="G49" s="278">
        <f t="shared" ca="1" si="0"/>
        <v>45292.840687384261</v>
      </c>
      <c r="J49" s="438">
        <f>(Feuil1!A44)</f>
        <v>45379.840324074074</v>
      </c>
      <c r="K49" s="418">
        <f>(Feuil1!B44)</f>
        <v>0</v>
      </c>
      <c r="L49" s="418">
        <v>43</v>
      </c>
      <c r="M49" s="448"/>
      <c r="N49" s="448"/>
      <c r="O49" s="448"/>
      <c r="P49" s="448"/>
      <c r="Q49" s="448"/>
    </row>
    <row r="50" spans="6:17">
      <c r="F50" s="276">
        <v>47</v>
      </c>
      <c r="G50" s="278">
        <f t="shared" ca="1" si="0"/>
        <v>45291.840687384261</v>
      </c>
      <c r="J50" s="438">
        <f>(Feuil1!A45)</f>
        <v>45380.840324074074</v>
      </c>
      <c r="K50" s="418">
        <f>(Feuil1!B45)</f>
        <v>0</v>
      </c>
      <c r="L50" s="418">
        <v>44</v>
      </c>
      <c r="M50" s="448"/>
      <c r="N50" s="448"/>
      <c r="O50" s="448"/>
      <c r="P50" s="448"/>
      <c r="Q50" s="448"/>
    </row>
    <row r="51" spans="6:17">
      <c r="F51" s="276">
        <v>48</v>
      </c>
      <c r="G51" s="278">
        <f t="shared" ca="1" si="0"/>
        <v>45290.840687384261</v>
      </c>
      <c r="J51" s="438">
        <f>(Feuil1!A46)</f>
        <v>45381.840324074074</v>
      </c>
      <c r="K51" s="418">
        <f>(Feuil1!B46)</f>
        <v>0</v>
      </c>
      <c r="L51" s="418">
        <v>45</v>
      </c>
      <c r="M51" s="448"/>
      <c r="N51" s="448"/>
      <c r="O51" s="448"/>
      <c r="P51" s="448"/>
      <c r="Q51" s="448"/>
    </row>
    <row r="52" spans="6:17" ht="14.25">
      <c r="F52" s="277">
        <v>49</v>
      </c>
      <c r="G52" s="278">
        <f t="shared" ca="1" si="0"/>
        <v>45289.840687384261</v>
      </c>
      <c r="J52" s="438">
        <f>(Feuil1!A47)</f>
        <v>45382.840324074074</v>
      </c>
      <c r="K52" s="418">
        <f>(Feuil1!B47)</f>
        <v>0</v>
      </c>
      <c r="L52" s="418">
        <v>46</v>
      </c>
      <c r="M52" s="448"/>
      <c r="N52" s="448"/>
      <c r="O52" s="448"/>
      <c r="P52" s="448"/>
      <c r="Q52" s="448"/>
    </row>
    <row r="53" spans="6:17">
      <c r="F53" s="276">
        <v>50</v>
      </c>
      <c r="G53" s="278">
        <f t="shared" ca="1" si="0"/>
        <v>45288.840687384261</v>
      </c>
      <c r="J53" s="438">
        <f>(Feuil1!A48)</f>
        <v>45383.840324074074</v>
      </c>
      <c r="K53" s="418">
        <f>(Feuil1!B48)</f>
        <v>0</v>
      </c>
      <c r="L53" s="418">
        <v>47</v>
      </c>
      <c r="M53" s="448"/>
      <c r="N53" s="448"/>
      <c r="O53" s="448"/>
      <c r="P53" s="448"/>
      <c r="Q53" s="448"/>
    </row>
    <row r="54" spans="6:17">
      <c r="F54" s="276">
        <v>51</v>
      </c>
      <c r="G54" s="278">
        <f t="shared" ca="1" si="0"/>
        <v>45287.840687384261</v>
      </c>
      <c r="J54" s="438">
        <f>(Feuil1!A49)</f>
        <v>45384.840324074074</v>
      </c>
      <c r="K54" s="418">
        <f>(Feuil1!B49)</f>
        <v>0</v>
      </c>
      <c r="L54" s="418">
        <v>48</v>
      </c>
      <c r="M54" s="448"/>
      <c r="N54" s="448"/>
      <c r="O54" s="448"/>
      <c r="P54" s="448"/>
      <c r="Q54" s="448"/>
    </row>
    <row r="55" spans="6:17" ht="14.25">
      <c r="F55" s="277">
        <v>52</v>
      </c>
      <c r="G55" s="278">
        <f t="shared" ca="1" si="0"/>
        <v>45286.840687384261</v>
      </c>
      <c r="J55" s="438">
        <f>(Feuil1!A50)</f>
        <v>45385.840324074074</v>
      </c>
      <c r="K55" s="418">
        <f>(Feuil1!B50)</f>
        <v>0</v>
      </c>
      <c r="L55" s="418">
        <v>49</v>
      </c>
      <c r="M55" s="448"/>
      <c r="N55" s="448"/>
      <c r="O55" s="448"/>
      <c r="P55" s="448"/>
      <c r="Q55" s="448"/>
    </row>
    <row r="56" spans="6:17">
      <c r="F56" s="276">
        <v>53</v>
      </c>
      <c r="G56" s="278">
        <f t="shared" ca="1" si="0"/>
        <v>45285.840687384261</v>
      </c>
      <c r="J56" s="438">
        <f>(Feuil1!A51)</f>
        <v>45386.840324074074</v>
      </c>
      <c r="K56" s="418">
        <f>(Feuil1!B51)</f>
        <v>0</v>
      </c>
      <c r="L56" s="418">
        <v>50</v>
      </c>
      <c r="M56" s="448"/>
      <c r="N56" s="448"/>
      <c r="O56" s="448"/>
      <c r="P56" s="448"/>
      <c r="Q56" s="448"/>
    </row>
    <row r="57" spans="6:17">
      <c r="F57" s="276">
        <v>54</v>
      </c>
      <c r="G57" s="278">
        <f t="shared" ca="1" si="0"/>
        <v>45284.840687384261</v>
      </c>
      <c r="J57" s="438">
        <f>(Feuil1!A52)</f>
        <v>45387.840324074074</v>
      </c>
      <c r="K57" s="418">
        <f>(Feuil1!B52)</f>
        <v>0</v>
      </c>
      <c r="L57" s="418">
        <v>51</v>
      </c>
      <c r="M57" s="448"/>
      <c r="N57" s="448"/>
      <c r="O57" s="448"/>
      <c r="P57" s="448"/>
      <c r="Q57" s="448"/>
    </row>
    <row r="58" spans="6:17" ht="14.25">
      <c r="F58" s="277">
        <v>55</v>
      </c>
      <c r="G58" s="278">
        <f t="shared" ca="1" si="0"/>
        <v>45283.840687384261</v>
      </c>
      <c r="J58" s="438">
        <f>(Feuil1!A53)</f>
        <v>45388.840324074074</v>
      </c>
      <c r="K58" s="418">
        <f>(Feuil1!B53)</f>
        <v>0</v>
      </c>
      <c r="L58" s="418">
        <v>52</v>
      </c>
      <c r="M58" s="448"/>
      <c r="N58" s="448"/>
      <c r="O58" s="448"/>
      <c r="P58" s="448"/>
      <c r="Q58" s="448"/>
    </row>
    <row r="59" spans="6:17">
      <c r="F59" s="276">
        <v>56</v>
      </c>
      <c r="G59" s="278">
        <f t="shared" ca="1" si="0"/>
        <v>45282.840687384261</v>
      </c>
      <c r="J59" s="438">
        <f>(Feuil1!A54)</f>
        <v>45389.840324074074</v>
      </c>
      <c r="K59" s="418">
        <f>(Feuil1!B54)</f>
        <v>0</v>
      </c>
      <c r="L59" s="418">
        <v>53</v>
      </c>
      <c r="M59" s="448"/>
      <c r="N59" s="448"/>
      <c r="O59" s="448"/>
      <c r="P59" s="448"/>
      <c r="Q59" s="448"/>
    </row>
    <row r="60" spans="6:17">
      <c r="F60" s="276">
        <v>57</v>
      </c>
      <c r="G60" s="278">
        <f t="shared" ca="1" si="0"/>
        <v>45281.840687384261</v>
      </c>
      <c r="J60" s="438">
        <f>(Feuil1!A55)</f>
        <v>45390.840324074074</v>
      </c>
      <c r="K60" s="418">
        <f>(Feuil1!B55)</f>
        <v>0</v>
      </c>
      <c r="L60" s="418">
        <v>54</v>
      </c>
      <c r="M60" s="448"/>
      <c r="N60" s="448"/>
      <c r="O60" s="448"/>
      <c r="P60" s="448"/>
      <c r="Q60" s="448"/>
    </row>
    <row r="61" spans="6:17" ht="14.25">
      <c r="F61" s="277">
        <v>58</v>
      </c>
      <c r="G61" s="278">
        <f t="shared" ca="1" si="0"/>
        <v>45280.840687384261</v>
      </c>
      <c r="J61" s="438">
        <f>(Feuil1!A56)</f>
        <v>45391.840324074074</v>
      </c>
      <c r="K61" s="418">
        <f>(Feuil1!B56)</f>
        <v>0</v>
      </c>
      <c r="L61" s="418">
        <v>55</v>
      </c>
      <c r="M61" s="448"/>
      <c r="N61" s="448"/>
      <c r="O61" s="448"/>
      <c r="P61" s="448"/>
      <c r="Q61" s="448"/>
    </row>
    <row r="62" spans="6:17">
      <c r="F62" s="276">
        <v>59</v>
      </c>
      <c r="G62" s="278">
        <f t="shared" ca="1" si="0"/>
        <v>45279.840687384261</v>
      </c>
      <c r="J62" s="438">
        <f>(Feuil1!A57)</f>
        <v>45392.840324074074</v>
      </c>
      <c r="K62" s="418">
        <f>(Feuil1!B57)</f>
        <v>0</v>
      </c>
      <c r="L62" s="418">
        <v>56</v>
      </c>
      <c r="M62" s="448"/>
      <c r="N62" s="448"/>
      <c r="O62" s="448"/>
      <c r="P62" s="448"/>
      <c r="Q62" s="448"/>
    </row>
    <row r="63" spans="6:17">
      <c r="F63" s="276">
        <v>60</v>
      </c>
      <c r="G63" s="278">
        <f t="shared" ca="1" si="0"/>
        <v>45278.840687384261</v>
      </c>
      <c r="J63" s="438">
        <f>(Feuil1!A58)</f>
        <v>45393.840324074074</v>
      </c>
      <c r="K63" s="418">
        <f>(Feuil1!B58)</f>
        <v>0</v>
      </c>
      <c r="L63" s="418">
        <v>57</v>
      </c>
      <c r="M63" s="448"/>
      <c r="N63" s="448"/>
      <c r="O63" s="448"/>
      <c r="P63" s="448"/>
      <c r="Q63" s="448"/>
    </row>
    <row r="64" spans="6:17" ht="14.25">
      <c r="F64" s="277">
        <v>61</v>
      </c>
      <c r="G64" s="278">
        <f t="shared" ca="1" si="0"/>
        <v>45277.840687384261</v>
      </c>
      <c r="J64" s="438">
        <f>(Feuil1!A59)</f>
        <v>45394.840324074074</v>
      </c>
      <c r="K64" s="418">
        <f>(Feuil1!B59)</f>
        <v>0</v>
      </c>
      <c r="L64" s="418">
        <v>58</v>
      </c>
      <c r="M64" s="448"/>
      <c r="N64" s="448"/>
      <c r="O64" s="448"/>
      <c r="P64" s="448"/>
      <c r="Q64" s="448"/>
    </row>
    <row r="65" spans="10:17">
      <c r="J65" s="438">
        <f>(Feuil1!A60)</f>
        <v>45395.840324074074</v>
      </c>
      <c r="K65" s="418">
        <f>(Feuil1!B60)</f>
        <v>0</v>
      </c>
      <c r="L65" s="418">
        <v>59</v>
      </c>
      <c r="M65" s="448"/>
      <c r="N65" s="448"/>
      <c r="O65" s="448"/>
      <c r="P65" s="448"/>
      <c r="Q65" s="448"/>
    </row>
    <row r="66" spans="10:17">
      <c r="J66" s="438">
        <f>(Feuil1!A61)</f>
        <v>45396.840324074074</v>
      </c>
      <c r="K66" s="418">
        <f>(Feuil1!B61)</f>
        <v>0</v>
      </c>
      <c r="L66" s="418">
        <v>60</v>
      </c>
      <c r="M66" s="448"/>
      <c r="N66" s="448"/>
      <c r="O66" s="448"/>
      <c r="P66" s="448"/>
      <c r="Q66" s="448"/>
    </row>
    <row r="67" spans="10:17">
      <c r="J67" s="438">
        <f>(Feuil1!A62)</f>
        <v>45397.840324074074</v>
      </c>
      <c r="K67" s="418">
        <f>(Feuil1!B62)</f>
        <v>0</v>
      </c>
      <c r="L67" s="418">
        <v>61</v>
      </c>
    </row>
    <row r="68" spans="10:17">
      <c r="J68" s="438">
        <f>(Feuil1!A63)</f>
        <v>45398.840324074074</v>
      </c>
      <c r="K68" s="418">
        <f>(Feuil1!B63)</f>
        <v>0</v>
      </c>
      <c r="L68" s="418">
        <v>62</v>
      </c>
    </row>
    <row r="69" spans="10:17">
      <c r="J69" s="438">
        <f>(Feuil1!A64)</f>
        <v>45399.840324074074</v>
      </c>
      <c r="K69" s="418">
        <f>(Feuil1!B64)</f>
        <v>0</v>
      </c>
      <c r="L69" s="418">
        <v>63</v>
      </c>
    </row>
    <row r="70" spans="10:17">
      <c r="J70" s="438">
        <f>(Feuil1!A65)</f>
        <v>45400.840324074074</v>
      </c>
      <c r="K70" s="418">
        <f>(Feuil1!B65)</f>
        <v>0</v>
      </c>
      <c r="L70" s="418">
        <v>64</v>
      </c>
    </row>
    <row r="71" spans="10:17">
      <c r="J71" s="438">
        <f>(Feuil1!A66)</f>
        <v>45401.840324074074</v>
      </c>
      <c r="K71" s="418">
        <f>(Feuil1!B66)</f>
        <v>0</v>
      </c>
      <c r="L71" s="418">
        <v>65</v>
      </c>
    </row>
    <row r="72" spans="10:17">
      <c r="J72" s="438">
        <f>(Feuil1!A67)</f>
        <v>45402.840324074074</v>
      </c>
      <c r="K72" s="418">
        <f>(Feuil1!B67)</f>
        <v>0</v>
      </c>
      <c r="L72" s="418">
        <v>66</v>
      </c>
    </row>
    <row r="73" spans="10:17">
      <c r="J73" s="438">
        <f>(Feuil1!A68)</f>
        <v>45403.840324074074</v>
      </c>
      <c r="K73" s="418">
        <f>(Feuil1!B68)</f>
        <v>0</v>
      </c>
      <c r="L73" s="418">
        <v>67</v>
      </c>
    </row>
    <row r="74" spans="10:17">
      <c r="J74" s="438">
        <f>(Feuil1!A69)</f>
        <v>45404.840324074074</v>
      </c>
      <c r="K74" s="418">
        <f>(Feuil1!B69)</f>
        <v>0</v>
      </c>
      <c r="L74" s="418">
        <v>68</v>
      </c>
    </row>
    <row r="75" spans="10:17">
      <c r="J75" s="438">
        <f>(Feuil1!A70)</f>
        <v>45405.840324074074</v>
      </c>
      <c r="K75" s="418">
        <f>(Feuil1!B70)</f>
        <v>0</v>
      </c>
      <c r="L75" s="418">
        <v>69</v>
      </c>
    </row>
    <row r="76" spans="10:17">
      <c r="J76" s="438">
        <f>(Feuil1!A71)</f>
        <v>45406.840324074074</v>
      </c>
      <c r="K76" s="418">
        <f>(Feuil1!B71)</f>
        <v>0</v>
      </c>
      <c r="L76" s="418">
        <v>70</v>
      </c>
    </row>
    <row r="77" spans="10:17">
      <c r="J77" s="438">
        <f>(Feuil1!A72)</f>
        <v>45407.840324074074</v>
      </c>
      <c r="K77" s="418">
        <f>(Feuil1!B72)</f>
        <v>0</v>
      </c>
      <c r="L77" s="418">
        <v>71</v>
      </c>
    </row>
    <row r="78" spans="10:17">
      <c r="J78" s="438">
        <f>(Feuil1!A73)</f>
        <v>45408.840324074074</v>
      </c>
      <c r="K78" s="418">
        <f>(Feuil1!B73)</f>
        <v>0</v>
      </c>
      <c r="L78" s="418">
        <v>72</v>
      </c>
    </row>
    <row r="79" spans="10:17">
      <c r="J79" s="438">
        <f>(Feuil1!A74)</f>
        <v>45409.840324074074</v>
      </c>
      <c r="K79" s="418">
        <f>(Feuil1!B74)</f>
        <v>0</v>
      </c>
      <c r="L79" s="418">
        <v>73</v>
      </c>
    </row>
    <row r="80" spans="10:17">
      <c r="J80" s="438">
        <f>(Feuil1!A75)</f>
        <v>45410.840324074074</v>
      </c>
      <c r="K80" s="418">
        <f>(Feuil1!B75)</f>
        <v>0</v>
      </c>
      <c r="L80" s="418">
        <v>74</v>
      </c>
    </row>
    <row r="81" spans="10:12">
      <c r="J81" s="438">
        <f>(Feuil1!A76)</f>
        <v>45411.840324074074</v>
      </c>
      <c r="K81" s="418">
        <f>(Feuil1!B76)</f>
        <v>0</v>
      </c>
      <c r="L81" s="418">
        <v>75</v>
      </c>
    </row>
    <row r="82" spans="10:12">
      <c r="J82" s="438">
        <f>(Feuil1!A77)</f>
        <v>45412.840324074074</v>
      </c>
      <c r="K82" s="418">
        <f>(Feuil1!B77)</f>
        <v>0</v>
      </c>
      <c r="L82" s="418">
        <v>76</v>
      </c>
    </row>
    <row r="83" spans="10:12">
      <c r="J83" s="438">
        <f>(Feuil1!A78)</f>
        <v>45413.840324074074</v>
      </c>
      <c r="K83" s="418">
        <f>(Feuil1!B78)</f>
        <v>0</v>
      </c>
      <c r="L83" s="418">
        <v>77</v>
      </c>
    </row>
    <row r="84" spans="10:12">
      <c r="J84" s="438">
        <f>(Feuil1!A79)</f>
        <v>45414.840324074074</v>
      </c>
      <c r="K84" s="418">
        <f>(Feuil1!B79)</f>
        <v>0</v>
      </c>
      <c r="L84" s="418">
        <v>78</v>
      </c>
    </row>
    <row r="85" spans="10:12">
      <c r="J85" s="438">
        <f>(Feuil1!A80)</f>
        <v>45415.840324074074</v>
      </c>
      <c r="K85" s="418">
        <f>(Feuil1!B80)</f>
        <v>0</v>
      </c>
      <c r="L85" s="418">
        <v>79</v>
      </c>
    </row>
    <row r="86" spans="10:12">
      <c r="J86" s="438">
        <f>(Feuil1!A81)</f>
        <v>45416.840324074074</v>
      </c>
      <c r="K86" s="418">
        <f>(Feuil1!B81)</f>
        <v>0</v>
      </c>
      <c r="L86" s="418">
        <v>80</v>
      </c>
    </row>
    <row r="87" spans="10:12">
      <c r="J87" s="438">
        <f>(Feuil1!A82)</f>
        <v>45417.840324074074</v>
      </c>
      <c r="K87" s="418">
        <f>(Feuil1!B82)</f>
        <v>0</v>
      </c>
      <c r="L87" s="418">
        <v>81</v>
      </c>
    </row>
    <row r="88" spans="10:12">
      <c r="J88" s="438">
        <f>(Feuil1!A83)</f>
        <v>45418.840324074074</v>
      </c>
      <c r="K88" s="418">
        <f>(Feuil1!B83)</f>
        <v>0</v>
      </c>
      <c r="L88" s="418">
        <v>82</v>
      </c>
    </row>
    <row r="89" spans="10:12">
      <c r="J89" s="438">
        <f>(Feuil1!A84)</f>
        <v>45419.840324074074</v>
      </c>
      <c r="K89" s="418">
        <f>(Feuil1!B84)</f>
        <v>0</v>
      </c>
      <c r="L89" s="418">
        <v>83</v>
      </c>
    </row>
    <row r="90" spans="10:12">
      <c r="J90" s="438">
        <f>(Feuil1!A85)</f>
        <v>45420.840324074074</v>
      </c>
      <c r="K90" s="418">
        <f>(Feuil1!B85)</f>
        <v>0</v>
      </c>
      <c r="L90" s="418">
        <v>84</v>
      </c>
    </row>
    <row r="91" spans="10:12">
      <c r="J91" s="438">
        <f>(Feuil1!A86)</f>
        <v>45421.840324074074</v>
      </c>
      <c r="K91" s="418">
        <f>(Feuil1!B86)</f>
        <v>0</v>
      </c>
      <c r="L91" s="418">
        <v>85</v>
      </c>
    </row>
    <row r="92" spans="10:12">
      <c r="J92" s="438">
        <f>(Feuil1!A87)</f>
        <v>45422.840324074074</v>
      </c>
      <c r="K92" s="418">
        <f>(Feuil1!B87)</f>
        <v>0</v>
      </c>
      <c r="L92" s="418">
        <v>86</v>
      </c>
    </row>
    <row r="93" spans="10:12">
      <c r="J93" s="438">
        <f>(Feuil1!A88)</f>
        <v>45423.840324074074</v>
      </c>
      <c r="K93" s="418">
        <f>(Feuil1!B88)</f>
        <v>0</v>
      </c>
      <c r="L93" s="418">
        <v>87</v>
      </c>
    </row>
    <row r="94" spans="10:12">
      <c r="J94" s="438">
        <f>(Feuil1!A89)</f>
        <v>45424.840324074074</v>
      </c>
      <c r="K94" s="418">
        <f>(Feuil1!B89)</f>
        <v>0</v>
      </c>
      <c r="L94" s="418">
        <v>88</v>
      </c>
    </row>
    <row r="95" spans="10:12">
      <c r="J95" s="438">
        <f>(Feuil1!A90)</f>
        <v>45425.840324074074</v>
      </c>
      <c r="K95" s="418">
        <f>(Feuil1!B90)</f>
        <v>0</v>
      </c>
      <c r="L95" s="418">
        <v>89</v>
      </c>
    </row>
    <row r="96" spans="10:12">
      <c r="J96" s="438">
        <f>(Feuil1!A91)</f>
        <v>45426.840324074074</v>
      </c>
      <c r="K96" s="418">
        <f>(Feuil1!B91)</f>
        <v>0</v>
      </c>
      <c r="L96" s="418">
        <v>90</v>
      </c>
    </row>
    <row r="97" spans="10:12">
      <c r="J97" s="438">
        <f>(Feuil1!A92)</f>
        <v>45427.840324074074</v>
      </c>
      <c r="K97" s="418">
        <f>(Feuil1!B92)</f>
        <v>0</v>
      </c>
      <c r="L97" s="418">
        <v>91</v>
      </c>
    </row>
    <row r="98" spans="10:12">
      <c r="J98" s="438">
        <f>(Feuil1!A93)</f>
        <v>45428.840324074074</v>
      </c>
      <c r="K98" s="418">
        <f>(Feuil1!B93)</f>
        <v>0</v>
      </c>
      <c r="L98" s="418">
        <v>92</v>
      </c>
    </row>
    <row r="99" spans="10:12">
      <c r="J99" s="438">
        <f>(Feuil1!A94)</f>
        <v>45429.840324074074</v>
      </c>
      <c r="K99" s="418">
        <f>(Feuil1!B94)</f>
        <v>0</v>
      </c>
      <c r="L99" s="418">
        <v>93</v>
      </c>
    </row>
    <row r="100" spans="10:12">
      <c r="J100" s="438">
        <f>(Feuil1!A95)</f>
        <v>45430.840324074074</v>
      </c>
      <c r="K100" s="418">
        <f>(Feuil1!B95)</f>
        <v>0</v>
      </c>
      <c r="L100" s="418">
        <v>94</v>
      </c>
    </row>
    <row r="101" spans="10:12">
      <c r="J101" s="438">
        <f>(Feuil1!A96)</f>
        <v>45431.840324074074</v>
      </c>
      <c r="K101" s="418">
        <f>(Feuil1!B96)</f>
        <v>0</v>
      </c>
      <c r="L101" s="418">
        <v>95</v>
      </c>
    </row>
    <row r="102" spans="10:12">
      <c r="J102" s="438">
        <f>(Feuil1!A97)</f>
        <v>45432.840324074074</v>
      </c>
      <c r="K102" s="418">
        <f>(Feuil1!B97)</f>
        <v>0</v>
      </c>
      <c r="L102" s="418">
        <v>96</v>
      </c>
    </row>
    <row r="103" spans="10:12">
      <c r="J103" s="438">
        <f>(Feuil1!A98)</f>
        <v>45433.840324074074</v>
      </c>
      <c r="K103" s="418">
        <f>(Feuil1!B98)</f>
        <v>0</v>
      </c>
      <c r="L103" s="418">
        <v>97</v>
      </c>
    </row>
    <row r="104" spans="10:12">
      <c r="J104" s="438">
        <f>(Feuil1!A99)</f>
        <v>45434.840324074074</v>
      </c>
      <c r="K104" s="418">
        <f>(Feuil1!B99)</f>
        <v>0</v>
      </c>
      <c r="L104" s="418">
        <v>98</v>
      </c>
    </row>
    <row r="105" spans="10:12">
      <c r="J105" s="438">
        <f>(Feuil1!A100)</f>
        <v>45435.840324074074</v>
      </c>
      <c r="K105" s="418">
        <f>(Feuil1!B100)</f>
        <v>0</v>
      </c>
      <c r="L105" s="418">
        <v>99</v>
      </c>
    </row>
    <row r="106" spans="10:12">
      <c r="J106" s="438">
        <f>(Feuil1!A101)</f>
        <v>45436.840324074074</v>
      </c>
      <c r="K106" s="418">
        <f>(Feuil1!B101)</f>
        <v>0</v>
      </c>
      <c r="L106" s="418">
        <v>100</v>
      </c>
    </row>
    <row r="107" spans="10:12">
      <c r="J107" s="438">
        <f>(Feuil1!A102)</f>
        <v>45437.840324074074</v>
      </c>
      <c r="K107" s="418">
        <f>(Feuil1!B102)</f>
        <v>0</v>
      </c>
      <c r="L107" s="418">
        <v>101</v>
      </c>
    </row>
    <row r="108" spans="10:12">
      <c r="J108" s="438">
        <f>(Feuil1!A103)</f>
        <v>45438.840324074074</v>
      </c>
      <c r="K108" s="418">
        <f>(Feuil1!B103)</f>
        <v>0</v>
      </c>
      <c r="L108" s="418">
        <v>102</v>
      </c>
    </row>
    <row r="109" spans="10:12">
      <c r="J109" s="438">
        <f>(Feuil1!A104)</f>
        <v>45439.840324074074</v>
      </c>
      <c r="K109" s="418">
        <f>(Feuil1!B104)</f>
        <v>0</v>
      </c>
      <c r="L109" s="418">
        <v>103</v>
      </c>
    </row>
    <row r="110" spans="10:12">
      <c r="J110" s="438">
        <f>(Feuil1!A105)</f>
        <v>45440.840324074074</v>
      </c>
      <c r="K110" s="418">
        <f>(Feuil1!B105)</f>
        <v>0</v>
      </c>
      <c r="L110" s="418">
        <v>104</v>
      </c>
    </row>
    <row r="111" spans="10:12">
      <c r="J111" s="438">
        <f>(Feuil1!A106)</f>
        <v>45441.840324074074</v>
      </c>
      <c r="K111" s="418">
        <f>(Feuil1!B106)</f>
        <v>0</v>
      </c>
      <c r="L111" s="418">
        <v>105</v>
      </c>
    </row>
    <row r="112" spans="10:12">
      <c r="J112" s="438">
        <f>(Feuil1!A107)</f>
        <v>45442.840324074074</v>
      </c>
      <c r="K112" s="418">
        <f>(Feuil1!B107)</f>
        <v>0</v>
      </c>
      <c r="L112" s="418">
        <v>106</v>
      </c>
    </row>
    <row r="113" spans="10:12">
      <c r="J113" s="438">
        <f>(Feuil1!A108)</f>
        <v>45443.840324074074</v>
      </c>
      <c r="K113" s="418">
        <f>(Feuil1!B108)</f>
        <v>0</v>
      </c>
      <c r="L113" s="418">
        <v>107</v>
      </c>
    </row>
    <row r="114" spans="10:12">
      <c r="J114" s="438">
        <f>(Feuil1!A109)</f>
        <v>45444.840324074074</v>
      </c>
      <c r="K114" s="418">
        <f>(Feuil1!B109)</f>
        <v>0</v>
      </c>
      <c r="L114" s="418">
        <v>108</v>
      </c>
    </row>
    <row r="115" spans="10:12">
      <c r="J115" s="438">
        <f>(Feuil1!A110)</f>
        <v>45445.840324074074</v>
      </c>
      <c r="K115" s="418">
        <f>(Feuil1!B110)</f>
        <v>0</v>
      </c>
      <c r="L115" s="418">
        <v>109</v>
      </c>
    </row>
    <row r="116" spans="10:12">
      <c r="J116" s="438">
        <f>(Feuil1!A111)</f>
        <v>45446.840324074074</v>
      </c>
      <c r="K116" s="418">
        <f>(Feuil1!B111)</f>
        <v>0</v>
      </c>
      <c r="L116" s="418">
        <v>110</v>
      </c>
    </row>
    <row r="117" spans="10:12">
      <c r="J117" s="438">
        <f>(Feuil1!A112)</f>
        <v>45447.840324074074</v>
      </c>
      <c r="K117" s="418">
        <f>(Feuil1!B112)</f>
        <v>0</v>
      </c>
      <c r="L117" s="418">
        <v>111</v>
      </c>
    </row>
    <row r="118" spans="10:12">
      <c r="J118" s="438">
        <f>(Feuil1!A113)</f>
        <v>45448.840324074074</v>
      </c>
      <c r="K118" s="418">
        <f>(Feuil1!B113)</f>
        <v>0</v>
      </c>
      <c r="L118" s="418">
        <v>112</v>
      </c>
    </row>
    <row r="119" spans="10:12">
      <c r="J119" s="438">
        <f>(Feuil1!A114)</f>
        <v>45449.840324074074</v>
      </c>
      <c r="K119" s="418">
        <f>(Feuil1!B114)</f>
        <v>0</v>
      </c>
      <c r="L119" s="418">
        <v>113</v>
      </c>
    </row>
    <row r="120" spans="10:12">
      <c r="J120" s="438">
        <f>(Feuil1!A115)</f>
        <v>45450.840324074074</v>
      </c>
      <c r="K120" s="418">
        <f>(Feuil1!B115)</f>
        <v>0</v>
      </c>
      <c r="L120" s="418">
        <v>114</v>
      </c>
    </row>
    <row r="121" spans="10:12">
      <c r="J121" s="438">
        <f>(Feuil1!A116)</f>
        <v>45451.840324074074</v>
      </c>
      <c r="K121" s="418">
        <f>(Feuil1!B116)</f>
        <v>0</v>
      </c>
      <c r="L121" s="418">
        <v>115</v>
      </c>
    </row>
    <row r="122" spans="10:12">
      <c r="J122" s="438">
        <f>(Feuil1!A117)</f>
        <v>45452.840324074074</v>
      </c>
      <c r="K122" s="418">
        <f>(Feuil1!B117)</f>
        <v>0</v>
      </c>
      <c r="L122" s="418">
        <v>116</v>
      </c>
    </row>
    <row r="123" spans="10:12">
      <c r="J123" s="438">
        <f>(Feuil1!A118)</f>
        <v>45453.840324074074</v>
      </c>
      <c r="K123" s="418">
        <f>(Feuil1!B118)</f>
        <v>0</v>
      </c>
      <c r="L123" s="418">
        <v>117</v>
      </c>
    </row>
    <row r="124" spans="10:12">
      <c r="J124" s="438">
        <f>(Feuil1!A119)</f>
        <v>45454.840324074074</v>
      </c>
      <c r="K124" s="418">
        <f>(Feuil1!B119)</f>
        <v>0</v>
      </c>
      <c r="L124" s="418">
        <v>118</v>
      </c>
    </row>
    <row r="125" spans="10:12">
      <c r="J125" s="438">
        <f>(Feuil1!A120)</f>
        <v>45455.840324074074</v>
      </c>
      <c r="K125" s="418">
        <f>(Feuil1!B120)</f>
        <v>0</v>
      </c>
      <c r="L125" s="418">
        <v>119</v>
      </c>
    </row>
    <row r="126" spans="10:12">
      <c r="J126" s="438">
        <f>(Feuil1!A121)</f>
        <v>45456.840324074074</v>
      </c>
      <c r="K126" s="418">
        <f>(Feuil1!B121)</f>
        <v>0</v>
      </c>
      <c r="L126" s="418">
        <v>120</v>
      </c>
    </row>
    <row r="127" spans="10:12">
      <c r="J127" s="438">
        <f>(Feuil1!A122)</f>
        <v>45457.840324074074</v>
      </c>
      <c r="K127" s="418">
        <f>(Feuil1!B122)</f>
        <v>0</v>
      </c>
      <c r="L127" s="418">
        <v>121</v>
      </c>
    </row>
    <row r="128" spans="10:12">
      <c r="J128" s="438">
        <f>(Feuil1!A123)</f>
        <v>45458.840324074074</v>
      </c>
      <c r="K128" s="418">
        <f>(Feuil1!B123)</f>
        <v>0</v>
      </c>
      <c r="L128" s="418">
        <v>122</v>
      </c>
    </row>
    <row r="129" spans="10:12">
      <c r="J129" s="438">
        <f>(Feuil1!A124)</f>
        <v>45459.840324074074</v>
      </c>
      <c r="K129" s="418">
        <f>(Feuil1!B124)</f>
        <v>0</v>
      </c>
      <c r="L129" s="418">
        <v>123</v>
      </c>
    </row>
    <row r="130" spans="10:12">
      <c r="J130" s="438">
        <f>(Feuil1!A125)</f>
        <v>45460.840324074074</v>
      </c>
      <c r="K130" s="418">
        <f>(Feuil1!B125)</f>
        <v>0</v>
      </c>
      <c r="L130" s="418">
        <v>124</v>
      </c>
    </row>
    <row r="131" spans="10:12">
      <c r="J131" s="438">
        <f>(Feuil1!A126)</f>
        <v>45461.840324074074</v>
      </c>
      <c r="K131" s="418">
        <f>(Feuil1!B126)</f>
        <v>0</v>
      </c>
      <c r="L131" s="418">
        <v>125</v>
      </c>
    </row>
    <row r="132" spans="10:12">
      <c r="J132" s="438">
        <f>(Feuil1!A127)</f>
        <v>45462.840324074074</v>
      </c>
      <c r="K132" s="418">
        <f>(Feuil1!B127)</f>
        <v>0</v>
      </c>
      <c r="L132" s="418">
        <v>126</v>
      </c>
    </row>
    <row r="133" spans="10:12">
      <c r="J133" s="438">
        <f>(Feuil1!A128)</f>
        <v>45463.840324074074</v>
      </c>
      <c r="K133" s="418">
        <f>(Feuil1!B128)</f>
        <v>0</v>
      </c>
      <c r="L133" s="418">
        <v>127</v>
      </c>
    </row>
    <row r="134" spans="10:12">
      <c r="J134" s="438">
        <f>(Feuil1!A129)</f>
        <v>45464.840324074074</v>
      </c>
      <c r="K134" s="418">
        <f>(Feuil1!B129)</f>
        <v>0</v>
      </c>
      <c r="L134" s="418">
        <v>128</v>
      </c>
    </row>
    <row r="135" spans="10:12">
      <c r="J135" s="438">
        <f>(Feuil1!A130)</f>
        <v>45465.840324074074</v>
      </c>
      <c r="K135" s="418">
        <f>(Feuil1!B130)</f>
        <v>0</v>
      </c>
      <c r="L135" s="418">
        <v>129</v>
      </c>
    </row>
    <row r="136" spans="10:12">
      <c r="J136" s="438">
        <f>(Feuil1!A131)</f>
        <v>45466.840324074074</v>
      </c>
      <c r="K136" s="418">
        <f>(Feuil1!B131)</f>
        <v>0</v>
      </c>
      <c r="L136" s="418">
        <v>130</v>
      </c>
    </row>
    <row r="137" spans="10:12">
      <c r="J137" s="438">
        <f>(Feuil1!A132)</f>
        <v>45467.840324074074</v>
      </c>
      <c r="K137" s="418">
        <f>(Feuil1!B132)</f>
        <v>0</v>
      </c>
      <c r="L137" s="418">
        <v>131</v>
      </c>
    </row>
    <row r="138" spans="10:12">
      <c r="J138" s="438">
        <f>(Feuil1!A133)</f>
        <v>45468.840324074074</v>
      </c>
      <c r="K138" s="418">
        <f>(Feuil1!B133)</f>
        <v>0</v>
      </c>
      <c r="L138" s="418">
        <v>132</v>
      </c>
    </row>
    <row r="139" spans="10:12">
      <c r="J139" s="438">
        <f>(Feuil1!A134)</f>
        <v>45469.840324074074</v>
      </c>
      <c r="K139" s="418">
        <f>(Feuil1!B134)</f>
        <v>0</v>
      </c>
      <c r="L139" s="418">
        <v>133</v>
      </c>
    </row>
    <row r="140" spans="10:12">
      <c r="J140" s="438">
        <f>(Feuil1!A135)</f>
        <v>45470.840324074074</v>
      </c>
      <c r="K140" s="418">
        <f>(Feuil1!B135)</f>
        <v>0</v>
      </c>
      <c r="L140" s="418">
        <v>134</v>
      </c>
    </row>
    <row r="141" spans="10:12">
      <c r="J141" s="438">
        <f>(Feuil1!A136)</f>
        <v>45471.840324074074</v>
      </c>
      <c r="K141" s="418">
        <f>(Feuil1!B136)</f>
        <v>0</v>
      </c>
      <c r="L141" s="418">
        <v>135</v>
      </c>
    </row>
    <row r="142" spans="10:12">
      <c r="J142" s="438">
        <f>(Feuil1!A137)</f>
        <v>45472.840324074074</v>
      </c>
      <c r="K142" s="418">
        <f>(Feuil1!B137)</f>
        <v>0</v>
      </c>
      <c r="L142" s="418">
        <v>136</v>
      </c>
    </row>
    <row r="143" spans="10:12">
      <c r="J143" s="438">
        <f>(Feuil1!A138)</f>
        <v>45473.840324074074</v>
      </c>
      <c r="K143" s="418">
        <f>(Feuil1!B138)</f>
        <v>0</v>
      </c>
      <c r="L143" s="418">
        <v>137</v>
      </c>
    </row>
    <row r="144" spans="10:12">
      <c r="J144" s="438">
        <f>(Feuil1!A139)</f>
        <v>45474.840324074074</v>
      </c>
      <c r="K144" s="418">
        <f>(Feuil1!B139)</f>
        <v>0</v>
      </c>
      <c r="L144" s="418">
        <v>138</v>
      </c>
    </row>
    <row r="145" spans="10:12">
      <c r="J145" s="438">
        <f>(Feuil1!A140)</f>
        <v>45475.840324074074</v>
      </c>
      <c r="K145" s="418">
        <f>(Feuil1!B140)</f>
        <v>0</v>
      </c>
      <c r="L145" s="418">
        <v>139</v>
      </c>
    </row>
    <row r="146" spans="10:12">
      <c r="J146" s="438">
        <f>(Feuil1!A141)</f>
        <v>45476.840324074074</v>
      </c>
      <c r="K146" s="418">
        <f>(Feuil1!B141)</f>
        <v>0</v>
      </c>
      <c r="L146" s="418">
        <v>140</v>
      </c>
    </row>
    <row r="147" spans="10:12">
      <c r="J147" s="438">
        <f>(Feuil1!A142)</f>
        <v>45477.840324074074</v>
      </c>
      <c r="K147" s="418">
        <f>(Feuil1!B142)</f>
        <v>0</v>
      </c>
      <c r="L147" s="418">
        <v>141</v>
      </c>
    </row>
    <row r="148" spans="10:12">
      <c r="J148" s="438">
        <f>(Feuil1!A143)</f>
        <v>45478.840324074074</v>
      </c>
      <c r="K148" s="418">
        <f>(Feuil1!B143)</f>
        <v>0</v>
      </c>
      <c r="L148" s="418">
        <v>142</v>
      </c>
    </row>
    <row r="149" spans="10:12">
      <c r="J149" s="438">
        <f>(Feuil1!A144)</f>
        <v>45479.840324074074</v>
      </c>
      <c r="K149" s="418">
        <f>(Feuil1!B144)</f>
        <v>0</v>
      </c>
      <c r="L149" s="418">
        <v>143</v>
      </c>
    </row>
    <row r="150" spans="10:12">
      <c r="J150" s="438">
        <f>(Feuil1!A145)</f>
        <v>45480.840324074074</v>
      </c>
      <c r="K150" s="418">
        <f>(Feuil1!B145)</f>
        <v>0</v>
      </c>
      <c r="L150" s="418">
        <v>144</v>
      </c>
    </row>
    <row r="151" spans="10:12">
      <c r="J151" s="438">
        <f>(Feuil1!A146)</f>
        <v>45481.840324074074</v>
      </c>
      <c r="K151" s="418">
        <f>(Feuil1!B146)</f>
        <v>0</v>
      </c>
      <c r="L151" s="418">
        <v>145</v>
      </c>
    </row>
    <row r="152" spans="10:12">
      <c r="J152" s="438">
        <f>(Feuil1!A147)</f>
        <v>45482.840324074074</v>
      </c>
      <c r="K152" s="418">
        <f>(Feuil1!B147)</f>
        <v>0</v>
      </c>
      <c r="L152" s="418">
        <v>146</v>
      </c>
    </row>
    <row r="153" spans="10:12">
      <c r="J153" s="438">
        <f>(Feuil1!A148)</f>
        <v>45483.840324074074</v>
      </c>
      <c r="K153" s="418">
        <f>(Feuil1!B148)</f>
        <v>0</v>
      </c>
      <c r="L153" s="418">
        <v>147</v>
      </c>
    </row>
    <row r="154" spans="10:12">
      <c r="J154" s="438">
        <f>(Feuil1!A149)</f>
        <v>45484.840324074074</v>
      </c>
      <c r="K154" s="418">
        <f>(Feuil1!B149)</f>
        <v>0</v>
      </c>
      <c r="L154" s="418">
        <v>148</v>
      </c>
    </row>
    <row r="155" spans="10:12">
      <c r="J155" s="438">
        <f>(Feuil1!A150)</f>
        <v>45485.840324074074</v>
      </c>
      <c r="K155" s="418">
        <f>(Feuil1!B150)</f>
        <v>0</v>
      </c>
      <c r="L155" s="418">
        <v>149</v>
      </c>
    </row>
    <row r="156" spans="10:12">
      <c r="J156" s="438">
        <f>(Feuil1!A151)</f>
        <v>45486.840324074074</v>
      </c>
      <c r="K156" s="418">
        <f>(Feuil1!B151)</f>
        <v>0</v>
      </c>
      <c r="L156" s="418">
        <v>150</v>
      </c>
    </row>
    <row r="157" spans="10:12">
      <c r="J157" s="438">
        <f>(Feuil1!A152)</f>
        <v>45487.840324074074</v>
      </c>
      <c r="K157" s="418">
        <f>(Feuil1!B152)</f>
        <v>0</v>
      </c>
      <c r="L157" s="418">
        <v>151</v>
      </c>
    </row>
    <row r="158" spans="10:12">
      <c r="J158" s="438">
        <f>(Feuil1!A153)</f>
        <v>45488.840324074074</v>
      </c>
      <c r="K158" s="418">
        <f>(Feuil1!B153)</f>
        <v>0</v>
      </c>
      <c r="L158" s="418">
        <v>152</v>
      </c>
    </row>
    <row r="159" spans="10:12">
      <c r="J159" s="438">
        <f>(Feuil1!A154)</f>
        <v>45489.840324074074</v>
      </c>
      <c r="K159" s="418">
        <f>(Feuil1!B154)</f>
        <v>0</v>
      </c>
      <c r="L159" s="418">
        <v>153</v>
      </c>
    </row>
    <row r="160" spans="10:12">
      <c r="J160" s="438">
        <f>(Feuil1!A155)</f>
        <v>45490.840324074074</v>
      </c>
      <c r="K160" s="418">
        <f>(Feuil1!B155)</f>
        <v>0</v>
      </c>
      <c r="L160" s="418">
        <v>154</v>
      </c>
    </row>
    <row r="161" spans="10:12">
      <c r="J161" s="438">
        <f>(Feuil1!A156)</f>
        <v>45491.840324074074</v>
      </c>
      <c r="K161" s="418">
        <f>(Feuil1!B156)</f>
        <v>0</v>
      </c>
      <c r="L161" s="418">
        <v>155</v>
      </c>
    </row>
    <row r="162" spans="10:12">
      <c r="J162" s="438">
        <f>(Feuil1!A157)</f>
        <v>45492.840324074074</v>
      </c>
      <c r="K162" s="418">
        <f>(Feuil1!B157)</f>
        <v>0</v>
      </c>
      <c r="L162" s="418">
        <v>156</v>
      </c>
    </row>
    <row r="163" spans="10:12">
      <c r="J163" s="438">
        <f>(Feuil1!A158)</f>
        <v>45493.840324074074</v>
      </c>
      <c r="K163" s="418">
        <f>(Feuil1!B158)</f>
        <v>0</v>
      </c>
      <c r="L163" s="418">
        <v>157</v>
      </c>
    </row>
    <row r="164" spans="10:12">
      <c r="J164" s="438">
        <f>(Feuil1!A159)</f>
        <v>45494.840324074074</v>
      </c>
      <c r="K164" s="418">
        <f>(Feuil1!B159)</f>
        <v>0</v>
      </c>
      <c r="L164" s="418">
        <v>158</v>
      </c>
    </row>
    <row r="165" spans="10:12">
      <c r="J165" s="438">
        <f>(Feuil1!A160)</f>
        <v>45495.840324074074</v>
      </c>
      <c r="K165" s="418">
        <f>(Feuil1!B160)</f>
        <v>0</v>
      </c>
      <c r="L165" s="418">
        <v>159</v>
      </c>
    </row>
    <row r="166" spans="10:12">
      <c r="J166" s="438">
        <f>(Feuil1!A161)</f>
        <v>45496.840324074074</v>
      </c>
      <c r="K166" s="418">
        <f>(Feuil1!B161)</f>
        <v>0</v>
      </c>
      <c r="L166" s="418">
        <v>160</v>
      </c>
    </row>
    <row r="167" spans="10:12">
      <c r="J167" s="438">
        <f>(Feuil1!A162)</f>
        <v>45497.840324074074</v>
      </c>
      <c r="K167" s="418">
        <f>(Feuil1!B162)</f>
        <v>0</v>
      </c>
      <c r="L167" s="418">
        <v>161</v>
      </c>
    </row>
    <row r="168" spans="10:12">
      <c r="J168" s="438">
        <f>(Feuil1!A163)</f>
        <v>45498.840324074074</v>
      </c>
      <c r="K168" s="418">
        <f>(Feuil1!B163)</f>
        <v>0</v>
      </c>
      <c r="L168" s="418">
        <v>162</v>
      </c>
    </row>
    <row r="169" spans="10:12">
      <c r="J169" s="438">
        <f>(Feuil1!A164)</f>
        <v>45499.840324074074</v>
      </c>
      <c r="K169" s="418">
        <f>(Feuil1!B164)</f>
        <v>0</v>
      </c>
      <c r="L169" s="418">
        <v>163</v>
      </c>
    </row>
    <row r="170" spans="10:12">
      <c r="J170" s="438">
        <f>(Feuil1!A165)</f>
        <v>45500.840324074074</v>
      </c>
      <c r="K170" s="418">
        <f>(Feuil1!B165)</f>
        <v>0</v>
      </c>
      <c r="L170" s="418">
        <v>164</v>
      </c>
    </row>
    <row r="171" spans="10:12">
      <c r="J171" s="438">
        <f>(Feuil1!A166)</f>
        <v>45501.840324074074</v>
      </c>
      <c r="K171" s="418">
        <f>(Feuil1!B166)</f>
        <v>0</v>
      </c>
      <c r="L171" s="418">
        <v>165</v>
      </c>
    </row>
    <row r="172" spans="10:12">
      <c r="J172" s="438">
        <f>(Feuil1!A167)</f>
        <v>45502.840324074074</v>
      </c>
      <c r="K172" s="418">
        <f>(Feuil1!B167)</f>
        <v>0</v>
      </c>
      <c r="L172" s="418">
        <v>166</v>
      </c>
    </row>
    <row r="173" spans="10:12">
      <c r="J173" s="438">
        <f>(Feuil1!A168)</f>
        <v>45503.840324074074</v>
      </c>
      <c r="K173" s="418">
        <f>(Feuil1!B168)</f>
        <v>0</v>
      </c>
      <c r="L173" s="418">
        <v>167</v>
      </c>
    </row>
    <row r="174" spans="10:12">
      <c r="J174" s="438">
        <f>(Feuil1!A169)</f>
        <v>45504.840324074074</v>
      </c>
      <c r="K174" s="418">
        <f>(Feuil1!B169)</f>
        <v>0</v>
      </c>
      <c r="L174" s="418">
        <v>168</v>
      </c>
    </row>
    <row r="175" spans="10:12">
      <c r="J175" s="438">
        <f>(Feuil1!A170)</f>
        <v>45505.840324074074</v>
      </c>
      <c r="K175" s="418">
        <f>(Feuil1!B170)</f>
        <v>0</v>
      </c>
      <c r="L175" s="418">
        <v>169</v>
      </c>
    </row>
    <row r="176" spans="10:12">
      <c r="J176" s="438">
        <f>(Feuil1!A171)</f>
        <v>45506.840324074074</v>
      </c>
      <c r="K176" s="418">
        <f>(Feuil1!B171)</f>
        <v>0</v>
      </c>
      <c r="L176" s="418">
        <v>170</v>
      </c>
    </row>
    <row r="177" spans="10:12">
      <c r="J177" s="438">
        <f>(Feuil1!A172)</f>
        <v>45507.840324074074</v>
      </c>
      <c r="K177" s="418">
        <f>(Feuil1!B172)</f>
        <v>0</v>
      </c>
      <c r="L177" s="418">
        <v>171</v>
      </c>
    </row>
    <row r="178" spans="10:12">
      <c r="J178" s="438">
        <f>(Feuil1!A173)</f>
        <v>45508.840324074074</v>
      </c>
      <c r="K178" s="418">
        <f>(Feuil1!B173)</f>
        <v>0</v>
      </c>
      <c r="L178" s="418">
        <v>172</v>
      </c>
    </row>
    <row r="179" spans="10:12">
      <c r="J179" s="438">
        <f>(Feuil1!A174)</f>
        <v>45509.840324074074</v>
      </c>
      <c r="K179" s="418">
        <f>(Feuil1!B174)</f>
        <v>0</v>
      </c>
      <c r="L179" s="418">
        <v>173</v>
      </c>
    </row>
    <row r="180" spans="10:12">
      <c r="J180" s="438">
        <f>(Feuil1!A175)</f>
        <v>45510.840324074074</v>
      </c>
      <c r="K180" s="418">
        <f>(Feuil1!B175)</f>
        <v>0</v>
      </c>
      <c r="L180" s="418">
        <v>174</v>
      </c>
    </row>
    <row r="181" spans="10:12">
      <c r="J181" s="438">
        <f>(Feuil1!A176)</f>
        <v>45511.840324074074</v>
      </c>
      <c r="K181" s="418">
        <f>(Feuil1!B176)</f>
        <v>0</v>
      </c>
      <c r="L181" s="418">
        <v>175</v>
      </c>
    </row>
    <row r="182" spans="10:12">
      <c r="J182" s="438">
        <f>(Feuil1!A177)</f>
        <v>45512.840324074074</v>
      </c>
      <c r="K182" s="418">
        <f>(Feuil1!B177)</f>
        <v>0</v>
      </c>
      <c r="L182" s="418">
        <v>176</v>
      </c>
    </row>
    <row r="183" spans="10:12">
      <c r="J183" s="438">
        <f>(Feuil1!A178)</f>
        <v>45513.840324074074</v>
      </c>
      <c r="K183" s="418">
        <f>(Feuil1!B178)</f>
        <v>0</v>
      </c>
      <c r="L183" s="418">
        <v>177</v>
      </c>
    </row>
    <row r="184" spans="10:12">
      <c r="J184" s="438">
        <f>(Feuil1!A179)</f>
        <v>45514.840324074074</v>
      </c>
      <c r="K184" s="418">
        <f>(Feuil1!B179)</f>
        <v>0</v>
      </c>
      <c r="L184" s="418">
        <v>178</v>
      </c>
    </row>
    <row r="185" spans="10:12">
      <c r="J185" s="438">
        <f>(Feuil1!A180)</f>
        <v>45515.840324074074</v>
      </c>
      <c r="K185" s="418">
        <f>(Feuil1!B180)</f>
        <v>0</v>
      </c>
      <c r="L185" s="418">
        <v>179</v>
      </c>
    </row>
    <row r="186" spans="10:12">
      <c r="J186" s="438">
        <f>(Feuil1!A181)</f>
        <v>45516.840324074074</v>
      </c>
      <c r="K186" s="418">
        <f>(Feuil1!B181)</f>
        <v>0</v>
      </c>
      <c r="L186" s="418">
        <v>180</v>
      </c>
    </row>
    <row r="187" spans="10:12">
      <c r="J187" s="438">
        <f>(Feuil1!A182)</f>
        <v>45517.840324074074</v>
      </c>
      <c r="K187" s="418">
        <f>(Feuil1!B182)</f>
        <v>0</v>
      </c>
      <c r="L187" s="418">
        <v>181</v>
      </c>
    </row>
    <row r="188" spans="10:12">
      <c r="J188" s="438">
        <f>(Feuil1!A183)</f>
        <v>45518.840324074074</v>
      </c>
      <c r="K188" s="418">
        <f>(Feuil1!B183)</f>
        <v>0</v>
      </c>
      <c r="L188" s="418">
        <v>182</v>
      </c>
    </row>
    <row r="189" spans="10:12">
      <c r="J189" s="438">
        <f>(Feuil1!A184)</f>
        <v>45519.840324074074</v>
      </c>
      <c r="K189" s="418">
        <f>(Feuil1!B184)</f>
        <v>0</v>
      </c>
      <c r="L189" s="418">
        <v>183</v>
      </c>
    </row>
    <row r="190" spans="10:12">
      <c r="J190" s="438">
        <f>(Feuil1!A185)</f>
        <v>45520.840324074074</v>
      </c>
      <c r="K190" s="418">
        <f>(Feuil1!B185)</f>
        <v>0</v>
      </c>
      <c r="L190" s="418">
        <v>184</v>
      </c>
    </row>
    <row r="191" spans="10:12">
      <c r="J191" s="438">
        <f>(Feuil1!A186)</f>
        <v>45521.840324074074</v>
      </c>
      <c r="K191" s="418">
        <f>(Feuil1!B186)</f>
        <v>0</v>
      </c>
      <c r="L191" s="418">
        <v>185</v>
      </c>
    </row>
    <row r="192" spans="10:12">
      <c r="J192" s="438">
        <f>(Feuil1!A187)</f>
        <v>45522.840324074074</v>
      </c>
      <c r="K192" s="418">
        <f>(Feuil1!B187)</f>
        <v>0</v>
      </c>
      <c r="L192" s="418">
        <v>186</v>
      </c>
    </row>
    <row r="193" spans="10:12">
      <c r="J193" s="438">
        <f>(Feuil1!A188)</f>
        <v>45523.840324074074</v>
      </c>
      <c r="K193" s="418">
        <f>(Feuil1!B188)</f>
        <v>0</v>
      </c>
      <c r="L193" s="418">
        <v>187</v>
      </c>
    </row>
    <row r="194" spans="10:12">
      <c r="J194" s="438">
        <f>(Feuil1!A189)</f>
        <v>45524.840324074074</v>
      </c>
      <c r="K194" s="418">
        <f>(Feuil1!B189)</f>
        <v>0</v>
      </c>
      <c r="L194" s="418">
        <v>188</v>
      </c>
    </row>
    <row r="195" spans="10:12">
      <c r="J195" s="438">
        <f>(Feuil1!A190)</f>
        <v>45525.840324074074</v>
      </c>
      <c r="K195" s="418">
        <f>(Feuil1!B190)</f>
        <v>0</v>
      </c>
      <c r="L195" s="418">
        <v>189</v>
      </c>
    </row>
    <row r="196" spans="10:12">
      <c r="J196" s="438">
        <f>(Feuil1!A191)</f>
        <v>45526.840324074074</v>
      </c>
      <c r="K196" s="418">
        <f>(Feuil1!B191)</f>
        <v>0</v>
      </c>
      <c r="L196" s="418">
        <v>190</v>
      </c>
    </row>
    <row r="197" spans="10:12">
      <c r="J197" s="438">
        <f>(Feuil1!A192)</f>
        <v>45527.840324074074</v>
      </c>
      <c r="K197" s="418">
        <f>(Feuil1!B192)</f>
        <v>0</v>
      </c>
      <c r="L197" s="418">
        <v>191</v>
      </c>
    </row>
    <row r="198" spans="10:12">
      <c r="J198" s="438">
        <f>(Feuil1!A193)</f>
        <v>45528.840324074074</v>
      </c>
      <c r="K198" s="418">
        <f>(Feuil1!B193)</f>
        <v>0</v>
      </c>
      <c r="L198" s="418">
        <v>192</v>
      </c>
    </row>
    <row r="199" spans="10:12">
      <c r="J199" s="438">
        <f>(Feuil1!A194)</f>
        <v>45529.840324074074</v>
      </c>
      <c r="K199" s="418">
        <f>(Feuil1!B194)</f>
        <v>0</v>
      </c>
      <c r="L199" s="418">
        <v>193</v>
      </c>
    </row>
    <row r="200" spans="10:12">
      <c r="J200" s="438">
        <f>(Feuil1!A195)</f>
        <v>45530.840324074074</v>
      </c>
      <c r="K200" s="418">
        <f>(Feuil1!B195)</f>
        <v>0</v>
      </c>
      <c r="L200" s="418">
        <v>194</v>
      </c>
    </row>
    <row r="201" spans="10:12">
      <c r="J201" s="438">
        <f>(Feuil1!A196)</f>
        <v>45531.840324074074</v>
      </c>
      <c r="K201" s="418">
        <f>(Feuil1!B196)</f>
        <v>0</v>
      </c>
      <c r="L201" s="418">
        <v>195</v>
      </c>
    </row>
    <row r="202" spans="10:12">
      <c r="J202" s="438">
        <f>(Feuil1!A197)</f>
        <v>45532.840324074074</v>
      </c>
      <c r="K202" s="418">
        <f>(Feuil1!B197)</f>
        <v>0</v>
      </c>
      <c r="L202" s="418">
        <v>196</v>
      </c>
    </row>
    <row r="203" spans="10:12">
      <c r="J203" s="438">
        <f>(Feuil1!A198)</f>
        <v>45533.840324074074</v>
      </c>
      <c r="K203" s="418">
        <f>(Feuil1!B198)</f>
        <v>0</v>
      </c>
      <c r="L203" s="418">
        <v>197</v>
      </c>
    </row>
    <row r="204" spans="10:12">
      <c r="J204" s="438">
        <f>(Feuil1!A199)</f>
        <v>45534.840324074074</v>
      </c>
      <c r="K204" s="418">
        <f>(Feuil1!B199)</f>
        <v>0</v>
      </c>
      <c r="L204" s="418">
        <v>198</v>
      </c>
    </row>
    <row r="205" spans="10:12">
      <c r="J205" s="438">
        <f>(Feuil1!A200)</f>
        <v>45535.840324074074</v>
      </c>
      <c r="K205" s="418">
        <f>(Feuil1!B200)</f>
        <v>0</v>
      </c>
      <c r="L205" s="418">
        <v>199</v>
      </c>
    </row>
    <row r="206" spans="10:12">
      <c r="J206" s="438">
        <f>(Feuil1!A201)</f>
        <v>45536.840324074074</v>
      </c>
      <c r="K206" s="418">
        <f>(Feuil1!B201)</f>
        <v>0</v>
      </c>
      <c r="L206" s="418">
        <v>200</v>
      </c>
    </row>
    <row r="207" spans="10:12">
      <c r="J207" s="438">
        <f>(Feuil1!A202)</f>
        <v>45537.840324074074</v>
      </c>
      <c r="K207" s="418">
        <f>(Feuil1!B202)</f>
        <v>0</v>
      </c>
      <c r="L207" s="418">
        <v>201</v>
      </c>
    </row>
    <row r="208" spans="10:12">
      <c r="J208" s="438">
        <f>(Feuil1!A203)</f>
        <v>45538.840324074074</v>
      </c>
      <c r="K208" s="418">
        <f>(Feuil1!B203)</f>
        <v>0</v>
      </c>
      <c r="L208" s="418">
        <v>202</v>
      </c>
    </row>
    <row r="209" spans="10:12">
      <c r="J209" s="438">
        <f>(Feuil1!A204)</f>
        <v>45539.840324074074</v>
      </c>
      <c r="K209" s="418">
        <f>(Feuil1!B204)</f>
        <v>0</v>
      </c>
      <c r="L209" s="418">
        <v>203</v>
      </c>
    </row>
    <row r="210" spans="10:12">
      <c r="J210" s="438">
        <f>(Feuil1!A205)</f>
        <v>45540.840324074074</v>
      </c>
      <c r="K210" s="418">
        <f>(Feuil1!B205)</f>
        <v>0</v>
      </c>
      <c r="L210" s="418">
        <v>204</v>
      </c>
    </row>
    <row r="211" spans="10:12">
      <c r="J211" s="438">
        <f>(Feuil1!A206)</f>
        <v>45541.840324074074</v>
      </c>
      <c r="K211" s="418">
        <f>(Feuil1!B206)</f>
        <v>0</v>
      </c>
      <c r="L211" s="418">
        <v>205</v>
      </c>
    </row>
    <row r="212" spans="10:12">
      <c r="J212" s="438">
        <f>(Feuil1!A207)</f>
        <v>45542.840324074074</v>
      </c>
      <c r="K212" s="418">
        <f>(Feuil1!B207)</f>
        <v>0</v>
      </c>
      <c r="L212" s="418">
        <v>206</v>
      </c>
    </row>
    <row r="213" spans="10:12">
      <c r="J213" s="438">
        <f>(Feuil1!A208)</f>
        <v>45543.840324074074</v>
      </c>
      <c r="K213" s="418">
        <f>(Feuil1!B208)</f>
        <v>0</v>
      </c>
      <c r="L213" s="418">
        <v>207</v>
      </c>
    </row>
    <row r="214" spans="10:12">
      <c r="J214" s="438">
        <f>(Feuil1!A209)</f>
        <v>45544.840324074074</v>
      </c>
      <c r="K214" s="418">
        <f>(Feuil1!B209)</f>
        <v>0</v>
      </c>
      <c r="L214" s="418">
        <v>208</v>
      </c>
    </row>
    <row r="215" spans="10:12">
      <c r="J215" s="438">
        <f>(Feuil1!A210)</f>
        <v>45545.840324074074</v>
      </c>
      <c r="K215" s="418">
        <f>(Feuil1!B210)</f>
        <v>0</v>
      </c>
      <c r="L215" s="418">
        <v>209</v>
      </c>
    </row>
    <row r="216" spans="10:12">
      <c r="J216" s="438">
        <f>(Feuil1!A211)</f>
        <v>45546.840324074074</v>
      </c>
      <c r="K216" s="418">
        <f>(Feuil1!B211)</f>
        <v>0</v>
      </c>
      <c r="L216" s="418">
        <v>210</v>
      </c>
    </row>
    <row r="217" spans="10:12">
      <c r="J217" s="438">
        <f>(Feuil1!A212)</f>
        <v>45547.840324074074</v>
      </c>
      <c r="K217" s="418">
        <f>(Feuil1!B212)</f>
        <v>0</v>
      </c>
      <c r="L217" s="418">
        <v>211</v>
      </c>
    </row>
    <row r="218" spans="10:12">
      <c r="J218" s="438">
        <f>(Feuil1!A213)</f>
        <v>45548.840324074074</v>
      </c>
      <c r="K218" s="418">
        <f>(Feuil1!B213)</f>
        <v>0</v>
      </c>
      <c r="L218" s="418">
        <v>212</v>
      </c>
    </row>
    <row r="219" spans="10:12">
      <c r="J219" s="438">
        <f>(Feuil1!A214)</f>
        <v>45549.840324074074</v>
      </c>
      <c r="K219" s="418">
        <f>(Feuil1!B214)</f>
        <v>0</v>
      </c>
      <c r="L219" s="418">
        <v>213</v>
      </c>
    </row>
    <row r="220" spans="10:12">
      <c r="J220" s="438">
        <f>(Feuil1!A215)</f>
        <v>45550.840324074074</v>
      </c>
      <c r="K220" s="418">
        <f>(Feuil1!B215)</f>
        <v>0</v>
      </c>
      <c r="L220" s="418">
        <v>214</v>
      </c>
    </row>
    <row r="221" spans="10:12">
      <c r="J221" s="438">
        <f>(Feuil1!A216)</f>
        <v>45551.840324074074</v>
      </c>
      <c r="K221" s="418">
        <f>(Feuil1!B216)</f>
        <v>0</v>
      </c>
      <c r="L221" s="418">
        <v>215</v>
      </c>
    </row>
    <row r="222" spans="10:12">
      <c r="J222" s="438">
        <f>(Feuil1!A217)</f>
        <v>45552.840324074074</v>
      </c>
      <c r="K222" s="418">
        <f>(Feuil1!B217)</f>
        <v>0</v>
      </c>
      <c r="L222" s="418">
        <v>216</v>
      </c>
    </row>
    <row r="223" spans="10:12">
      <c r="J223" s="438">
        <f>(Feuil1!A218)</f>
        <v>45553.840324074074</v>
      </c>
      <c r="K223" s="418">
        <f>(Feuil1!B218)</f>
        <v>0</v>
      </c>
      <c r="L223" s="418">
        <v>217</v>
      </c>
    </row>
    <row r="224" spans="10:12">
      <c r="J224" s="438">
        <f>(Feuil1!A219)</f>
        <v>45554.840324074074</v>
      </c>
      <c r="K224" s="418">
        <f>(Feuil1!B219)</f>
        <v>0</v>
      </c>
      <c r="L224" s="418">
        <v>218</v>
      </c>
    </row>
    <row r="225" spans="10:12">
      <c r="J225" s="438">
        <f>(Feuil1!A220)</f>
        <v>45555.840324074074</v>
      </c>
      <c r="K225" s="418">
        <f>(Feuil1!B220)</f>
        <v>0</v>
      </c>
      <c r="L225" s="418">
        <v>219</v>
      </c>
    </row>
    <row r="226" spans="10:12">
      <c r="J226" s="438">
        <f>(Feuil1!A221)</f>
        <v>45556.840324074074</v>
      </c>
      <c r="K226" s="418">
        <f>(Feuil1!B221)</f>
        <v>0</v>
      </c>
      <c r="L226" s="418">
        <v>220</v>
      </c>
    </row>
    <row r="227" spans="10:12">
      <c r="J227" s="438">
        <f>(Feuil1!A222)</f>
        <v>45557.840324074074</v>
      </c>
      <c r="K227" s="418">
        <f>(Feuil1!B222)</f>
        <v>0</v>
      </c>
      <c r="L227" s="418">
        <v>221</v>
      </c>
    </row>
    <row r="228" spans="10:12">
      <c r="J228" s="438">
        <f>(Feuil1!A223)</f>
        <v>45558.840324074074</v>
      </c>
      <c r="K228" s="418">
        <f>(Feuil1!B223)</f>
        <v>0</v>
      </c>
      <c r="L228" s="418">
        <v>222</v>
      </c>
    </row>
    <row r="229" spans="10:12">
      <c r="J229" s="438">
        <f>(Feuil1!A224)</f>
        <v>45559.840324074074</v>
      </c>
      <c r="K229" s="418">
        <f>(Feuil1!B224)</f>
        <v>0</v>
      </c>
      <c r="L229" s="418">
        <v>223</v>
      </c>
    </row>
    <row r="230" spans="10:12">
      <c r="J230" s="438">
        <f>(Feuil1!A225)</f>
        <v>45560.840324074074</v>
      </c>
      <c r="K230" s="418">
        <f>(Feuil1!B225)</f>
        <v>0</v>
      </c>
      <c r="L230" s="418">
        <v>224</v>
      </c>
    </row>
    <row r="231" spans="10:12">
      <c r="J231" s="438">
        <f>(Feuil1!A226)</f>
        <v>45561.840324074074</v>
      </c>
      <c r="K231" s="418">
        <f>(Feuil1!B226)</f>
        <v>0</v>
      </c>
      <c r="L231" s="418">
        <v>225</v>
      </c>
    </row>
    <row r="232" spans="10:12">
      <c r="J232" s="438">
        <f>(Feuil1!A227)</f>
        <v>45562.840324074074</v>
      </c>
      <c r="K232" s="418">
        <f>(Feuil1!B227)</f>
        <v>0</v>
      </c>
      <c r="L232" s="418">
        <v>226</v>
      </c>
    </row>
    <row r="233" spans="10:12">
      <c r="J233" s="438">
        <f>(Feuil1!A228)</f>
        <v>45563.840324074074</v>
      </c>
      <c r="K233" s="418">
        <f>(Feuil1!B228)</f>
        <v>0</v>
      </c>
      <c r="L233" s="418">
        <v>227</v>
      </c>
    </row>
    <row r="234" spans="10:12">
      <c r="J234" s="438">
        <f>(Feuil1!A229)</f>
        <v>45564.840324074074</v>
      </c>
      <c r="K234" s="418">
        <f>(Feuil1!B229)</f>
        <v>0</v>
      </c>
      <c r="L234" s="418">
        <v>228</v>
      </c>
    </row>
    <row r="235" spans="10:12">
      <c r="J235" s="438">
        <f>(Feuil1!A230)</f>
        <v>45565.840324074074</v>
      </c>
      <c r="K235" s="418">
        <f>(Feuil1!B230)</f>
        <v>0</v>
      </c>
      <c r="L235" s="418">
        <v>229</v>
      </c>
    </row>
    <row r="236" spans="10:12">
      <c r="J236" s="438">
        <f>(Feuil1!A231)</f>
        <v>45566.840324074074</v>
      </c>
      <c r="K236" s="418">
        <f>(Feuil1!B231)</f>
        <v>0</v>
      </c>
      <c r="L236" s="418">
        <v>230</v>
      </c>
    </row>
    <row r="237" spans="10:12">
      <c r="J237" s="438">
        <f>(Feuil1!A232)</f>
        <v>45567.840324074074</v>
      </c>
      <c r="K237" s="418">
        <f>(Feuil1!B232)</f>
        <v>0</v>
      </c>
      <c r="L237" s="418">
        <v>231</v>
      </c>
    </row>
    <row r="238" spans="10:12">
      <c r="J238" s="438">
        <f>(Feuil1!A233)</f>
        <v>45568.840324074074</v>
      </c>
      <c r="K238" s="418">
        <f>(Feuil1!B233)</f>
        <v>0</v>
      </c>
      <c r="L238" s="418">
        <v>232</v>
      </c>
    </row>
    <row r="239" spans="10:12">
      <c r="J239" s="438">
        <f>(Feuil1!A234)</f>
        <v>45569.840324074074</v>
      </c>
      <c r="K239" s="418">
        <f>(Feuil1!B234)</f>
        <v>0</v>
      </c>
      <c r="L239" s="418">
        <v>233</v>
      </c>
    </row>
    <row r="240" spans="10:12">
      <c r="J240" s="438">
        <f>(Feuil1!A235)</f>
        <v>45570.840324074074</v>
      </c>
      <c r="K240" s="418">
        <f>(Feuil1!B235)</f>
        <v>0</v>
      </c>
      <c r="L240" s="418">
        <v>234</v>
      </c>
    </row>
    <row r="241" spans="10:12">
      <c r="J241" s="438">
        <f>(Feuil1!A236)</f>
        <v>45571.840324074074</v>
      </c>
      <c r="K241" s="418">
        <f>(Feuil1!B236)</f>
        <v>0</v>
      </c>
      <c r="L241" s="418">
        <v>235</v>
      </c>
    </row>
    <row r="242" spans="10:12">
      <c r="J242" s="438">
        <f>(Feuil1!A237)</f>
        <v>45572.840324074074</v>
      </c>
      <c r="K242" s="418">
        <f>(Feuil1!B237)</f>
        <v>0</v>
      </c>
      <c r="L242" s="418">
        <v>236</v>
      </c>
    </row>
    <row r="243" spans="10:12">
      <c r="J243" s="438">
        <f>(Feuil1!A238)</f>
        <v>45573.840324074074</v>
      </c>
      <c r="K243" s="418">
        <f>(Feuil1!B238)</f>
        <v>0</v>
      </c>
      <c r="L243" s="418">
        <v>237</v>
      </c>
    </row>
    <row r="244" spans="10:12">
      <c r="J244" s="438">
        <f>(Feuil1!A239)</f>
        <v>45574.840324074074</v>
      </c>
      <c r="K244" s="418">
        <f>(Feuil1!B239)</f>
        <v>0</v>
      </c>
      <c r="L244" s="418">
        <v>238</v>
      </c>
    </row>
    <row r="245" spans="10:12">
      <c r="J245" s="438">
        <f>(Feuil1!A240)</f>
        <v>45575.840324074074</v>
      </c>
      <c r="K245" s="418">
        <f>(Feuil1!B240)</f>
        <v>0</v>
      </c>
      <c r="L245" s="418">
        <v>239</v>
      </c>
    </row>
    <row r="246" spans="10:12">
      <c r="J246" s="438">
        <f>(Feuil1!A241)</f>
        <v>45576.840324074074</v>
      </c>
      <c r="K246" s="418">
        <f>(Feuil1!B241)</f>
        <v>0</v>
      </c>
      <c r="L246" s="418">
        <v>240</v>
      </c>
    </row>
    <row r="247" spans="10:12">
      <c r="J247" s="438">
        <f>(Feuil1!A242)</f>
        <v>45577.840324074074</v>
      </c>
      <c r="K247" s="418">
        <f>(Feuil1!B242)</f>
        <v>0</v>
      </c>
      <c r="L247" s="418">
        <v>241</v>
      </c>
    </row>
    <row r="248" spans="10:12">
      <c r="J248" s="438">
        <f>(Feuil1!A243)</f>
        <v>45578.840324074074</v>
      </c>
      <c r="K248" s="418">
        <f>(Feuil1!B243)</f>
        <v>0</v>
      </c>
      <c r="L248" s="418">
        <v>242</v>
      </c>
    </row>
    <row r="249" spans="10:12">
      <c r="J249" s="438">
        <f>(Feuil1!A244)</f>
        <v>45579.840324074074</v>
      </c>
      <c r="K249" s="418">
        <f>(Feuil1!B244)</f>
        <v>0</v>
      </c>
      <c r="L249" s="418">
        <v>243</v>
      </c>
    </row>
    <row r="250" spans="10:12">
      <c r="J250" s="438">
        <f>(Feuil1!A245)</f>
        <v>45580.840324074074</v>
      </c>
      <c r="K250" s="418">
        <f>(Feuil1!B245)</f>
        <v>0</v>
      </c>
      <c r="L250" s="418">
        <v>244</v>
      </c>
    </row>
    <row r="251" spans="10:12">
      <c r="J251" s="438">
        <f>(Feuil1!A246)</f>
        <v>45581.840324074074</v>
      </c>
      <c r="K251" s="418">
        <f>(Feuil1!B246)</f>
        <v>0</v>
      </c>
      <c r="L251" s="418">
        <v>245</v>
      </c>
    </row>
    <row r="252" spans="10:12">
      <c r="J252" s="438">
        <f>(Feuil1!A247)</f>
        <v>45582.840324074074</v>
      </c>
      <c r="K252" s="418">
        <f>(Feuil1!B247)</f>
        <v>0</v>
      </c>
      <c r="L252" s="418">
        <v>246</v>
      </c>
    </row>
    <row r="253" spans="10:12">
      <c r="J253" s="438">
        <f>(Feuil1!A248)</f>
        <v>45583.840324074074</v>
      </c>
      <c r="K253" s="418">
        <f>(Feuil1!B248)</f>
        <v>0</v>
      </c>
      <c r="L253" s="418">
        <v>247</v>
      </c>
    </row>
    <row r="254" spans="10:12">
      <c r="J254" s="438">
        <f>(Feuil1!A249)</f>
        <v>45584.840324074074</v>
      </c>
      <c r="K254" s="418">
        <f>(Feuil1!B249)</f>
        <v>0</v>
      </c>
      <c r="L254" s="418">
        <v>248</v>
      </c>
    </row>
    <row r="255" spans="10:12">
      <c r="J255" s="438">
        <f>(Feuil1!A250)</f>
        <v>45585.840324074074</v>
      </c>
      <c r="K255" s="418">
        <f>(Feuil1!B250)</f>
        <v>0</v>
      </c>
      <c r="L255" s="418">
        <v>249</v>
      </c>
    </row>
    <row r="256" spans="10:12">
      <c r="J256" s="438">
        <f>(Feuil1!A251)</f>
        <v>45586.840324074074</v>
      </c>
      <c r="K256" s="418">
        <f>(Feuil1!B251)</f>
        <v>0</v>
      </c>
      <c r="L256" s="418">
        <v>250</v>
      </c>
    </row>
    <row r="257" spans="10:12">
      <c r="J257" s="438">
        <f>(Feuil1!A252)</f>
        <v>45587.840324074074</v>
      </c>
      <c r="K257" s="418">
        <f>(Feuil1!B252)</f>
        <v>0</v>
      </c>
      <c r="L257" s="418">
        <v>251</v>
      </c>
    </row>
    <row r="258" spans="10:12">
      <c r="J258" s="438">
        <f>(Feuil1!A253)</f>
        <v>45588.840324074074</v>
      </c>
      <c r="K258" s="418">
        <f>(Feuil1!B253)</f>
        <v>0</v>
      </c>
      <c r="L258" s="418">
        <v>252</v>
      </c>
    </row>
    <row r="259" spans="10:12">
      <c r="J259" s="438">
        <f>(Feuil1!A254)</f>
        <v>45589.840324074074</v>
      </c>
      <c r="K259" s="418">
        <f>(Feuil1!B254)</f>
        <v>0</v>
      </c>
      <c r="L259" s="418">
        <v>253</v>
      </c>
    </row>
    <row r="260" spans="10:12">
      <c r="J260" s="438">
        <f>(Feuil1!A255)</f>
        <v>45590.840324074074</v>
      </c>
      <c r="K260" s="418">
        <f>(Feuil1!B255)</f>
        <v>0</v>
      </c>
      <c r="L260" s="418">
        <v>254</v>
      </c>
    </row>
    <row r="261" spans="10:12">
      <c r="J261" s="438">
        <f>(Feuil1!A256)</f>
        <v>45591.840324074074</v>
      </c>
      <c r="K261" s="418">
        <f>(Feuil1!B256)</f>
        <v>0</v>
      </c>
      <c r="L261" s="418">
        <v>255</v>
      </c>
    </row>
    <row r="262" spans="10:12">
      <c r="J262" s="438">
        <f>(Feuil1!A257)</f>
        <v>45592.840324074074</v>
      </c>
      <c r="K262" s="418">
        <f>(Feuil1!B257)</f>
        <v>0</v>
      </c>
      <c r="L262" s="418">
        <v>256</v>
      </c>
    </row>
    <row r="263" spans="10:12">
      <c r="J263" s="438">
        <f>(Feuil1!A258)</f>
        <v>45593.840324074074</v>
      </c>
      <c r="K263" s="418">
        <f>(Feuil1!B258)</f>
        <v>0</v>
      </c>
      <c r="L263" s="418">
        <v>257</v>
      </c>
    </row>
    <row r="264" spans="10:12">
      <c r="J264" s="438">
        <f>(Feuil1!A259)</f>
        <v>45594.840324074074</v>
      </c>
      <c r="K264" s="418">
        <f>(Feuil1!B259)</f>
        <v>0</v>
      </c>
      <c r="L264" s="418">
        <v>258</v>
      </c>
    </row>
    <row r="265" spans="10:12">
      <c r="J265" s="438">
        <f>(Feuil1!A260)</f>
        <v>45595.840324074074</v>
      </c>
      <c r="K265" s="418">
        <f>(Feuil1!B260)</f>
        <v>0</v>
      </c>
      <c r="L265" s="418">
        <v>259</v>
      </c>
    </row>
    <row r="266" spans="10:12">
      <c r="J266" s="438">
        <f>(Feuil1!A261)</f>
        <v>45596.840324074074</v>
      </c>
      <c r="K266" s="418">
        <f>(Feuil1!B261)</f>
        <v>0</v>
      </c>
      <c r="L266" s="418">
        <v>260</v>
      </c>
    </row>
    <row r="267" spans="10:12">
      <c r="J267" s="438">
        <f>(Feuil1!A262)</f>
        <v>45597.840324074074</v>
      </c>
      <c r="K267" s="418">
        <f>(Feuil1!B262)</f>
        <v>0</v>
      </c>
      <c r="L267" s="418">
        <v>261</v>
      </c>
    </row>
    <row r="268" spans="10:12">
      <c r="J268" s="438">
        <f>(Feuil1!A263)</f>
        <v>45598.840324074074</v>
      </c>
      <c r="K268" s="418">
        <f>(Feuil1!B263)</f>
        <v>0</v>
      </c>
      <c r="L268" s="418">
        <v>262</v>
      </c>
    </row>
    <row r="269" spans="10:12">
      <c r="J269" s="438">
        <f>(Feuil1!A264)</f>
        <v>45599.840324074074</v>
      </c>
      <c r="K269" s="418">
        <f>(Feuil1!B264)</f>
        <v>0</v>
      </c>
      <c r="L269" s="418">
        <v>263</v>
      </c>
    </row>
    <row r="270" spans="10:12">
      <c r="J270" s="438">
        <f>(Feuil1!A265)</f>
        <v>45600.840324074074</v>
      </c>
      <c r="K270" s="418">
        <f>(Feuil1!B265)</f>
        <v>0</v>
      </c>
      <c r="L270" s="418">
        <v>264</v>
      </c>
    </row>
    <row r="271" spans="10:12">
      <c r="J271" s="438">
        <f>(Feuil1!A266)</f>
        <v>45601.840324074074</v>
      </c>
      <c r="K271" s="418">
        <f>(Feuil1!B266)</f>
        <v>0</v>
      </c>
      <c r="L271" s="418">
        <v>265</v>
      </c>
    </row>
    <row r="272" spans="10:12">
      <c r="J272" s="438">
        <f>(Feuil1!A267)</f>
        <v>45602.840324074074</v>
      </c>
      <c r="K272" s="418">
        <f>(Feuil1!B267)</f>
        <v>0</v>
      </c>
      <c r="L272" s="418">
        <v>266</v>
      </c>
    </row>
    <row r="273" spans="10:12">
      <c r="J273" s="438">
        <f>(Feuil1!A268)</f>
        <v>45603.840324074074</v>
      </c>
      <c r="K273" s="418">
        <f>(Feuil1!B268)</f>
        <v>0</v>
      </c>
      <c r="L273" s="418">
        <v>267</v>
      </c>
    </row>
    <row r="274" spans="10:12">
      <c r="J274" s="438">
        <f>(Feuil1!A269)</f>
        <v>45604.840324074074</v>
      </c>
      <c r="K274" s="418">
        <f>(Feuil1!B269)</f>
        <v>0</v>
      </c>
      <c r="L274" s="418">
        <v>268</v>
      </c>
    </row>
    <row r="275" spans="10:12">
      <c r="J275" s="438">
        <f>(Feuil1!A270)</f>
        <v>45605.840324074074</v>
      </c>
      <c r="K275" s="418">
        <f>(Feuil1!B270)</f>
        <v>0</v>
      </c>
      <c r="L275" s="418">
        <v>269</v>
      </c>
    </row>
    <row r="276" spans="10:12">
      <c r="J276" s="438">
        <f>(Feuil1!A271)</f>
        <v>45606.840324074074</v>
      </c>
      <c r="K276" s="418">
        <f>(Feuil1!B271)</f>
        <v>0</v>
      </c>
      <c r="L276" s="418">
        <v>270</v>
      </c>
    </row>
    <row r="277" spans="10:12">
      <c r="J277" s="438">
        <f>(Feuil1!A272)</f>
        <v>45607.840324074074</v>
      </c>
      <c r="K277" s="418">
        <f>(Feuil1!B272)</f>
        <v>0</v>
      </c>
      <c r="L277" s="418">
        <v>271</v>
      </c>
    </row>
    <row r="278" spans="10:12">
      <c r="J278" s="438">
        <f>(Feuil1!A273)</f>
        <v>45608.840324074074</v>
      </c>
      <c r="K278" s="418">
        <f>(Feuil1!B273)</f>
        <v>0</v>
      </c>
      <c r="L278" s="418">
        <v>272</v>
      </c>
    </row>
    <row r="279" spans="10:12">
      <c r="J279" s="438">
        <f>(Feuil1!A274)</f>
        <v>45609.840324074074</v>
      </c>
      <c r="K279" s="418">
        <f>(Feuil1!B274)</f>
        <v>0</v>
      </c>
      <c r="L279" s="418">
        <v>273</v>
      </c>
    </row>
    <row r="280" spans="10:12">
      <c r="J280" s="438">
        <f>(Feuil1!A275)</f>
        <v>45610.840324074074</v>
      </c>
      <c r="K280" s="418">
        <f>(Feuil1!B275)</f>
        <v>0</v>
      </c>
      <c r="L280" s="418">
        <v>274</v>
      </c>
    </row>
    <row r="281" spans="10:12">
      <c r="J281" s="438">
        <f>(Feuil1!A276)</f>
        <v>45611.840324074074</v>
      </c>
      <c r="K281" s="418">
        <f>(Feuil1!B276)</f>
        <v>0</v>
      </c>
      <c r="L281" s="418">
        <v>275</v>
      </c>
    </row>
    <row r="282" spans="10:12">
      <c r="J282" s="438">
        <f>(Feuil1!A277)</f>
        <v>45612.840324074074</v>
      </c>
      <c r="K282" s="418">
        <f>(Feuil1!B277)</f>
        <v>0</v>
      </c>
      <c r="L282" s="418">
        <v>276</v>
      </c>
    </row>
    <row r="283" spans="10:12">
      <c r="J283" s="438">
        <f>(Feuil1!A278)</f>
        <v>45613.840324074074</v>
      </c>
      <c r="K283" s="418">
        <f>(Feuil1!B278)</f>
        <v>0</v>
      </c>
      <c r="L283" s="418">
        <v>277</v>
      </c>
    </row>
    <row r="284" spans="10:12">
      <c r="J284" s="438">
        <f>(Feuil1!A279)</f>
        <v>45614.840324074074</v>
      </c>
      <c r="K284" s="418">
        <f>(Feuil1!B279)</f>
        <v>0</v>
      </c>
      <c r="L284" s="418">
        <v>278</v>
      </c>
    </row>
    <row r="285" spans="10:12">
      <c r="J285" s="438">
        <f>(Feuil1!A280)</f>
        <v>45615.840324074074</v>
      </c>
      <c r="K285" s="418">
        <f>(Feuil1!B280)</f>
        <v>0</v>
      </c>
      <c r="L285" s="418">
        <v>279</v>
      </c>
    </row>
    <row r="286" spans="10:12">
      <c r="J286" s="438">
        <f>(Feuil1!A281)</f>
        <v>45616.840324074074</v>
      </c>
      <c r="K286" s="418">
        <f>(Feuil1!B281)</f>
        <v>0</v>
      </c>
      <c r="L286" s="418">
        <v>280</v>
      </c>
    </row>
    <row r="287" spans="10:12">
      <c r="J287" s="438">
        <f>(Feuil1!A282)</f>
        <v>45617.840324074074</v>
      </c>
      <c r="K287" s="418">
        <f>(Feuil1!B282)</f>
        <v>0</v>
      </c>
      <c r="L287" s="418">
        <v>281</v>
      </c>
    </row>
    <row r="288" spans="10:12">
      <c r="J288" s="438">
        <f>(Feuil1!A283)</f>
        <v>45618.840324074074</v>
      </c>
      <c r="K288" s="418">
        <f>(Feuil1!B283)</f>
        <v>0</v>
      </c>
      <c r="L288" s="418">
        <v>282</v>
      </c>
    </row>
    <row r="289" spans="10:12">
      <c r="J289" s="438">
        <f>(Feuil1!A284)</f>
        <v>45619.840324074074</v>
      </c>
      <c r="K289" s="418">
        <f>(Feuil1!B284)</f>
        <v>0</v>
      </c>
      <c r="L289" s="418">
        <v>283</v>
      </c>
    </row>
    <row r="290" spans="10:12">
      <c r="J290" s="438">
        <f>(Feuil1!A285)</f>
        <v>45620.840324074074</v>
      </c>
      <c r="K290" s="418">
        <f>(Feuil1!B285)</f>
        <v>0</v>
      </c>
      <c r="L290" s="418">
        <v>284</v>
      </c>
    </row>
    <row r="291" spans="10:12">
      <c r="J291" s="438">
        <f>(Feuil1!A286)</f>
        <v>45621.840324074074</v>
      </c>
      <c r="K291" s="418">
        <f>(Feuil1!B286)</f>
        <v>0</v>
      </c>
      <c r="L291" s="418">
        <v>285</v>
      </c>
    </row>
    <row r="292" spans="10:12">
      <c r="J292" s="438">
        <f>(Feuil1!A287)</f>
        <v>45622.840324074074</v>
      </c>
      <c r="K292" s="418">
        <f>(Feuil1!B287)</f>
        <v>0</v>
      </c>
      <c r="L292" s="418">
        <v>286</v>
      </c>
    </row>
    <row r="293" spans="10:12">
      <c r="J293" s="438">
        <f>(Feuil1!A288)</f>
        <v>45623.840324074074</v>
      </c>
      <c r="K293" s="418">
        <f>(Feuil1!B288)</f>
        <v>0</v>
      </c>
      <c r="L293" s="418">
        <v>287</v>
      </c>
    </row>
    <row r="294" spans="10:12">
      <c r="J294" s="438">
        <f>(Feuil1!A289)</f>
        <v>45624.840324074074</v>
      </c>
      <c r="K294" s="418">
        <f>(Feuil1!B289)</f>
        <v>0</v>
      </c>
      <c r="L294" s="418">
        <v>288</v>
      </c>
    </row>
    <row r="295" spans="10:12">
      <c r="J295" s="438">
        <f>(Feuil1!A290)</f>
        <v>45625.840324074074</v>
      </c>
      <c r="K295" s="418">
        <f>(Feuil1!B290)</f>
        <v>0</v>
      </c>
      <c r="L295" s="418">
        <v>289</v>
      </c>
    </row>
    <row r="296" spans="10:12">
      <c r="J296" s="438">
        <f>(Feuil1!A291)</f>
        <v>45626.840324074074</v>
      </c>
      <c r="K296" s="418">
        <f>(Feuil1!B291)</f>
        <v>0</v>
      </c>
      <c r="L296" s="418">
        <v>290</v>
      </c>
    </row>
    <row r="297" spans="10:12">
      <c r="J297" s="438">
        <f>(Feuil1!A292)</f>
        <v>45627.840324074074</v>
      </c>
      <c r="K297" s="418">
        <f>(Feuil1!B292)</f>
        <v>0</v>
      </c>
      <c r="L297" s="418">
        <v>291</v>
      </c>
    </row>
    <row r="298" spans="10:12">
      <c r="J298" s="438">
        <f>(Feuil1!A293)</f>
        <v>45628.840324074074</v>
      </c>
      <c r="K298" s="418">
        <f>(Feuil1!B293)</f>
        <v>0</v>
      </c>
      <c r="L298" s="418">
        <v>292</v>
      </c>
    </row>
    <row r="299" spans="10:12">
      <c r="J299" s="438">
        <f>(Feuil1!A294)</f>
        <v>45629.840324074074</v>
      </c>
      <c r="K299" s="418">
        <f>(Feuil1!B294)</f>
        <v>0</v>
      </c>
      <c r="L299" s="418">
        <v>293</v>
      </c>
    </row>
    <row r="300" spans="10:12">
      <c r="J300" s="438">
        <f>(Feuil1!A295)</f>
        <v>45630.840324074074</v>
      </c>
      <c r="K300" s="418">
        <f>(Feuil1!B295)</f>
        <v>0</v>
      </c>
      <c r="L300" s="418">
        <v>294</v>
      </c>
    </row>
    <row r="301" spans="10:12">
      <c r="J301" s="438">
        <f>(Feuil1!A296)</f>
        <v>45631.840324074074</v>
      </c>
      <c r="K301" s="418">
        <f>(Feuil1!B296)</f>
        <v>0</v>
      </c>
      <c r="L301" s="418">
        <v>295</v>
      </c>
    </row>
    <row r="302" spans="10:12">
      <c r="J302" s="438">
        <f>(Feuil1!A297)</f>
        <v>45632.840324074074</v>
      </c>
      <c r="K302" s="418">
        <f>(Feuil1!B297)</f>
        <v>0</v>
      </c>
      <c r="L302" s="418">
        <v>296</v>
      </c>
    </row>
    <row r="303" spans="10:12">
      <c r="J303" s="438">
        <f>(Feuil1!A298)</f>
        <v>45633.840324074074</v>
      </c>
      <c r="K303" s="418">
        <f>(Feuil1!B298)</f>
        <v>0</v>
      </c>
      <c r="L303" s="418">
        <v>297</v>
      </c>
    </row>
    <row r="304" spans="10:12">
      <c r="J304" s="438">
        <f>(Feuil1!A299)</f>
        <v>45634.840324074074</v>
      </c>
      <c r="K304" s="418">
        <f>(Feuil1!B299)</f>
        <v>0</v>
      </c>
      <c r="L304" s="418">
        <v>298</v>
      </c>
    </row>
    <row r="305" spans="10:12">
      <c r="J305" s="438">
        <f>(Feuil1!A300)</f>
        <v>45635.840324074074</v>
      </c>
      <c r="K305" s="418">
        <f>(Feuil1!B300)</f>
        <v>0</v>
      </c>
      <c r="L305" s="418">
        <v>299</v>
      </c>
    </row>
    <row r="306" spans="10:12">
      <c r="J306" s="438">
        <f>(Feuil1!A301)</f>
        <v>45636.840324074074</v>
      </c>
      <c r="K306" s="418">
        <f>(Feuil1!B301)</f>
        <v>0</v>
      </c>
      <c r="L306" s="418">
        <v>300</v>
      </c>
    </row>
    <row r="307" spans="10:12">
      <c r="J307" s="438">
        <f>(Feuil1!A302)</f>
        <v>45637.840324074074</v>
      </c>
      <c r="K307" s="418">
        <f>(Feuil1!B302)</f>
        <v>0</v>
      </c>
      <c r="L307" s="418">
        <v>301</v>
      </c>
    </row>
    <row r="308" spans="10:12">
      <c r="J308" s="438">
        <f>(Feuil1!A303)</f>
        <v>45638.840324074074</v>
      </c>
      <c r="K308" s="418">
        <f>(Feuil1!B303)</f>
        <v>0</v>
      </c>
      <c r="L308" s="418">
        <v>302</v>
      </c>
    </row>
    <row r="309" spans="10:12">
      <c r="J309" s="438">
        <f>(Feuil1!A304)</f>
        <v>45639.840324074074</v>
      </c>
      <c r="K309" s="418">
        <f>(Feuil1!B304)</f>
        <v>0</v>
      </c>
      <c r="L309" s="418">
        <v>303</v>
      </c>
    </row>
    <row r="310" spans="10:12">
      <c r="J310" s="438">
        <f>(Feuil1!A305)</f>
        <v>45640.840324074074</v>
      </c>
      <c r="K310" s="418">
        <f>(Feuil1!B305)</f>
        <v>0</v>
      </c>
      <c r="L310" s="418">
        <v>304</v>
      </c>
    </row>
    <row r="311" spans="10:12">
      <c r="J311" s="438">
        <f>(Feuil1!A306)</f>
        <v>45641.840324074074</v>
      </c>
      <c r="K311" s="418">
        <f>(Feuil1!B306)</f>
        <v>0</v>
      </c>
      <c r="L311" s="418">
        <v>305</v>
      </c>
    </row>
    <row r="312" spans="10:12">
      <c r="J312" s="438">
        <f>(Feuil1!A307)</f>
        <v>45642.840324074074</v>
      </c>
      <c r="K312" s="418">
        <f>(Feuil1!B307)</f>
        <v>0</v>
      </c>
      <c r="L312" s="418">
        <v>306</v>
      </c>
    </row>
    <row r="313" spans="10:12">
      <c r="J313" s="438">
        <f>(Feuil1!A308)</f>
        <v>45643.840324074074</v>
      </c>
      <c r="K313" s="418">
        <f>(Feuil1!B308)</f>
        <v>0</v>
      </c>
      <c r="L313" s="418">
        <v>307</v>
      </c>
    </row>
    <row r="314" spans="10:12">
      <c r="J314" s="438">
        <f>(Feuil1!A309)</f>
        <v>45644.840324074074</v>
      </c>
      <c r="K314" s="418">
        <f>(Feuil1!B309)</f>
        <v>0</v>
      </c>
      <c r="L314" s="418">
        <v>308</v>
      </c>
    </row>
    <row r="315" spans="10:12">
      <c r="J315" s="438">
        <f>(Feuil1!A310)</f>
        <v>45645.840324074074</v>
      </c>
      <c r="K315" s="418">
        <f>(Feuil1!B310)</f>
        <v>0</v>
      </c>
      <c r="L315" s="418">
        <v>309</v>
      </c>
    </row>
    <row r="316" spans="10:12">
      <c r="J316" s="438">
        <f>(Feuil1!A311)</f>
        <v>45646.840324074074</v>
      </c>
      <c r="K316" s="418">
        <f>(Feuil1!B311)</f>
        <v>0</v>
      </c>
      <c r="L316" s="418">
        <v>310</v>
      </c>
    </row>
    <row r="317" spans="10:12">
      <c r="J317" s="438">
        <f>(Feuil1!A312)</f>
        <v>45647.840324074074</v>
      </c>
      <c r="K317" s="418">
        <f>(Feuil1!B312)</f>
        <v>0</v>
      </c>
      <c r="L317" s="418">
        <v>311</v>
      </c>
    </row>
    <row r="318" spans="10:12">
      <c r="J318" s="438">
        <f>(Feuil1!A313)</f>
        <v>45648.840324074074</v>
      </c>
      <c r="K318" s="418">
        <f>(Feuil1!B313)</f>
        <v>0</v>
      </c>
      <c r="L318" s="418">
        <v>312</v>
      </c>
    </row>
    <row r="319" spans="10:12">
      <c r="J319" s="438">
        <f>(Feuil1!A314)</f>
        <v>45649.840324074074</v>
      </c>
      <c r="K319" s="418">
        <f>(Feuil1!B314)</f>
        <v>0</v>
      </c>
      <c r="L319" s="418">
        <v>313</v>
      </c>
    </row>
    <row r="320" spans="10:12">
      <c r="J320" s="438">
        <f>(Feuil1!A315)</f>
        <v>45650.840324074074</v>
      </c>
      <c r="K320" s="418">
        <f>(Feuil1!B315)</f>
        <v>0</v>
      </c>
      <c r="L320" s="418">
        <v>314</v>
      </c>
    </row>
    <row r="321" spans="10:12">
      <c r="J321" s="438">
        <f>(Feuil1!A316)</f>
        <v>45651.840324074074</v>
      </c>
      <c r="K321" s="418">
        <f>(Feuil1!B316)</f>
        <v>0</v>
      </c>
      <c r="L321" s="418">
        <v>315</v>
      </c>
    </row>
    <row r="322" spans="10:12">
      <c r="J322" s="438">
        <f>(Feuil1!A317)</f>
        <v>45652.840324074074</v>
      </c>
      <c r="K322" s="418">
        <f>(Feuil1!B317)</f>
        <v>0</v>
      </c>
      <c r="L322" s="418">
        <v>316</v>
      </c>
    </row>
    <row r="323" spans="10:12">
      <c r="J323" s="438">
        <f>(Feuil1!A318)</f>
        <v>45653.840324074074</v>
      </c>
      <c r="K323" s="418">
        <f>(Feuil1!B318)</f>
        <v>0</v>
      </c>
      <c r="L323" s="418">
        <v>317</v>
      </c>
    </row>
    <row r="324" spans="10:12">
      <c r="J324" s="438">
        <f>(Feuil1!A319)</f>
        <v>45654.840324074074</v>
      </c>
      <c r="K324" s="418">
        <f>(Feuil1!B319)</f>
        <v>0</v>
      </c>
      <c r="L324" s="418">
        <v>318</v>
      </c>
    </row>
    <row r="325" spans="10:12">
      <c r="J325" s="438">
        <f>(Feuil1!A320)</f>
        <v>45655.840324074074</v>
      </c>
      <c r="K325" s="418">
        <f>(Feuil1!B320)</f>
        <v>0</v>
      </c>
      <c r="L325" s="418">
        <v>319</v>
      </c>
    </row>
    <row r="326" spans="10:12">
      <c r="J326" s="438">
        <f>(Feuil1!A321)</f>
        <v>45656.840324074074</v>
      </c>
      <c r="K326" s="418">
        <f>(Feuil1!B321)</f>
        <v>0</v>
      </c>
      <c r="L326" s="418">
        <v>320</v>
      </c>
    </row>
    <row r="327" spans="10:12">
      <c r="J327" s="438">
        <f>(Feuil1!A322)</f>
        <v>45657.840324074074</v>
      </c>
      <c r="K327" s="418">
        <f>(Feuil1!B322)</f>
        <v>0</v>
      </c>
      <c r="L327" s="418">
        <v>321</v>
      </c>
    </row>
    <row r="328" spans="10:12">
      <c r="J328" s="438">
        <f>(Feuil1!A323)</f>
        <v>45658.840324074074</v>
      </c>
      <c r="K328" s="418">
        <f>(Feuil1!B323)</f>
        <v>0</v>
      </c>
      <c r="L328" s="418">
        <v>322</v>
      </c>
    </row>
    <row r="329" spans="10:12">
      <c r="J329" s="438">
        <f>(Feuil1!A324)</f>
        <v>45659.840324074074</v>
      </c>
      <c r="K329" s="418">
        <f>(Feuil1!B324)</f>
        <v>0</v>
      </c>
      <c r="L329" s="418">
        <v>323</v>
      </c>
    </row>
    <row r="330" spans="10:12">
      <c r="J330" s="438">
        <f>(Feuil1!A325)</f>
        <v>45660.840324074074</v>
      </c>
      <c r="K330" s="418">
        <f>(Feuil1!B325)</f>
        <v>0</v>
      </c>
      <c r="L330" s="418">
        <v>324</v>
      </c>
    </row>
    <row r="331" spans="10:12">
      <c r="J331" s="438">
        <f>(Feuil1!A326)</f>
        <v>45661.840324074074</v>
      </c>
      <c r="K331" s="418">
        <f>(Feuil1!B326)</f>
        <v>0</v>
      </c>
      <c r="L331" s="418">
        <v>325</v>
      </c>
    </row>
    <row r="332" spans="10:12">
      <c r="J332" s="438">
        <f>(Feuil1!A327)</f>
        <v>45662.840324074074</v>
      </c>
      <c r="K332" s="418">
        <f>(Feuil1!B327)</f>
        <v>0</v>
      </c>
      <c r="L332" s="418">
        <v>326</v>
      </c>
    </row>
    <row r="333" spans="10:12">
      <c r="J333" s="438">
        <f>(Feuil1!A328)</f>
        <v>45663.840324074074</v>
      </c>
      <c r="K333" s="418">
        <f>(Feuil1!B328)</f>
        <v>0</v>
      </c>
      <c r="L333" s="418">
        <v>327</v>
      </c>
    </row>
    <row r="334" spans="10:12">
      <c r="J334" s="438">
        <f>(Feuil1!A329)</f>
        <v>45664.840324074074</v>
      </c>
      <c r="K334" s="418">
        <f>(Feuil1!B329)</f>
        <v>0</v>
      </c>
      <c r="L334" s="418">
        <v>328</v>
      </c>
    </row>
    <row r="335" spans="10:12">
      <c r="J335" s="438">
        <f>(Feuil1!A330)</f>
        <v>45665.840324074074</v>
      </c>
      <c r="K335" s="418">
        <f>(Feuil1!B330)</f>
        <v>0</v>
      </c>
      <c r="L335" s="418">
        <v>329</v>
      </c>
    </row>
    <row r="336" spans="10:12">
      <c r="J336" s="438">
        <f>(Feuil1!A331)</f>
        <v>45666.840324074074</v>
      </c>
      <c r="K336" s="418">
        <f>(Feuil1!B331)</f>
        <v>0</v>
      </c>
      <c r="L336" s="418">
        <v>330</v>
      </c>
    </row>
    <row r="337" spans="10:12">
      <c r="J337" s="438">
        <f>(Feuil1!A332)</f>
        <v>45667.840324074074</v>
      </c>
      <c r="K337" s="418">
        <f>(Feuil1!B332)</f>
        <v>0</v>
      </c>
      <c r="L337" s="418">
        <v>331</v>
      </c>
    </row>
    <row r="338" spans="10:12">
      <c r="J338" s="438">
        <f>(Feuil1!A333)</f>
        <v>45668.840324074074</v>
      </c>
      <c r="K338" s="418">
        <f>(Feuil1!B333)</f>
        <v>0</v>
      </c>
      <c r="L338" s="418">
        <v>332</v>
      </c>
    </row>
    <row r="339" spans="10:12">
      <c r="J339" s="438">
        <f>(Feuil1!A334)</f>
        <v>45669.840324074074</v>
      </c>
      <c r="K339" s="418">
        <f>(Feuil1!B334)</f>
        <v>0</v>
      </c>
      <c r="L339" s="418">
        <v>333</v>
      </c>
    </row>
    <row r="340" spans="10:12">
      <c r="J340" s="438">
        <f>(Feuil1!A335)</f>
        <v>45670.840324074074</v>
      </c>
      <c r="K340" s="418">
        <f>(Feuil1!B335)</f>
        <v>0</v>
      </c>
      <c r="L340" s="418">
        <v>334</v>
      </c>
    </row>
    <row r="341" spans="10:12">
      <c r="J341" s="438">
        <f>(Feuil1!A336)</f>
        <v>45671.840324074074</v>
      </c>
      <c r="K341" s="418">
        <f>(Feuil1!B336)</f>
        <v>0</v>
      </c>
      <c r="L341" s="418">
        <v>335</v>
      </c>
    </row>
    <row r="342" spans="10:12">
      <c r="J342" s="438">
        <f>(Feuil1!A337)</f>
        <v>45672.840324074074</v>
      </c>
      <c r="K342" s="418">
        <f>(Feuil1!B337)</f>
        <v>0</v>
      </c>
      <c r="L342" s="418">
        <v>336</v>
      </c>
    </row>
    <row r="343" spans="10:12">
      <c r="J343" s="438">
        <f>(Feuil1!A338)</f>
        <v>45673.840324074074</v>
      </c>
      <c r="K343" s="418">
        <f>(Feuil1!B338)</f>
        <v>0</v>
      </c>
      <c r="L343" s="418">
        <v>337</v>
      </c>
    </row>
    <row r="344" spans="10:12">
      <c r="J344" s="438">
        <f>(Feuil1!A339)</f>
        <v>45674.840324074074</v>
      </c>
      <c r="K344" s="418">
        <f>(Feuil1!B339)</f>
        <v>0</v>
      </c>
      <c r="L344" s="418">
        <v>338</v>
      </c>
    </row>
    <row r="345" spans="10:12">
      <c r="J345" s="438">
        <f>(Feuil1!A340)</f>
        <v>45675.840324074074</v>
      </c>
      <c r="K345" s="418">
        <f>(Feuil1!B340)</f>
        <v>0</v>
      </c>
      <c r="L345" s="418">
        <v>339</v>
      </c>
    </row>
    <row r="346" spans="10:12">
      <c r="J346" s="438">
        <f>(Feuil1!A341)</f>
        <v>45676.840324074074</v>
      </c>
      <c r="K346" s="418">
        <f>(Feuil1!B341)</f>
        <v>0</v>
      </c>
      <c r="L346" s="418">
        <v>340</v>
      </c>
    </row>
    <row r="347" spans="10:12">
      <c r="J347" s="438">
        <f>(Feuil1!A342)</f>
        <v>45677.840324074074</v>
      </c>
      <c r="K347" s="418">
        <f>(Feuil1!B342)</f>
        <v>0</v>
      </c>
      <c r="L347" s="418">
        <v>341</v>
      </c>
    </row>
    <row r="348" spans="10:12">
      <c r="J348" s="438">
        <f>(Feuil1!A343)</f>
        <v>45678.840324074074</v>
      </c>
      <c r="K348" s="418">
        <f>(Feuil1!B343)</f>
        <v>0</v>
      </c>
      <c r="L348" s="418">
        <v>342</v>
      </c>
    </row>
    <row r="349" spans="10:12">
      <c r="J349" s="438">
        <f>(Feuil1!A344)</f>
        <v>45679.840324074074</v>
      </c>
      <c r="K349" s="418">
        <f>(Feuil1!B344)</f>
        <v>0</v>
      </c>
      <c r="L349" s="418">
        <v>343</v>
      </c>
    </row>
    <row r="350" spans="10:12">
      <c r="J350" s="438">
        <f>(Feuil1!A345)</f>
        <v>45680.840324074074</v>
      </c>
      <c r="K350" s="418">
        <f>(Feuil1!B345)</f>
        <v>0</v>
      </c>
      <c r="L350" s="418">
        <v>344</v>
      </c>
    </row>
    <row r="351" spans="10:12">
      <c r="J351" s="438">
        <f>(Feuil1!A346)</f>
        <v>45681.840324074074</v>
      </c>
      <c r="K351" s="418">
        <f>(Feuil1!B346)</f>
        <v>0</v>
      </c>
      <c r="L351" s="418">
        <v>345</v>
      </c>
    </row>
    <row r="352" spans="10:12">
      <c r="J352" s="438">
        <f>(Feuil1!A347)</f>
        <v>45682.840324074074</v>
      </c>
      <c r="K352" s="418">
        <f>(Feuil1!B347)</f>
        <v>0</v>
      </c>
      <c r="L352" s="418">
        <v>346</v>
      </c>
    </row>
    <row r="353" spans="10:12">
      <c r="J353" s="438">
        <f>(Feuil1!A348)</f>
        <v>45683.840324074074</v>
      </c>
      <c r="K353" s="418">
        <f>(Feuil1!B348)</f>
        <v>0</v>
      </c>
      <c r="L353" s="418">
        <v>347</v>
      </c>
    </row>
    <row r="354" spans="10:12">
      <c r="J354" s="438">
        <f>(Feuil1!A349)</f>
        <v>45684.840324074074</v>
      </c>
      <c r="K354" s="418">
        <f>(Feuil1!B349)</f>
        <v>0</v>
      </c>
      <c r="L354" s="418">
        <v>348</v>
      </c>
    </row>
    <row r="355" spans="10:12">
      <c r="J355" s="438">
        <f>(Feuil1!A350)</f>
        <v>45685.840324074074</v>
      </c>
      <c r="K355" s="418">
        <f>(Feuil1!B350)</f>
        <v>0</v>
      </c>
      <c r="L355" s="418">
        <v>349</v>
      </c>
    </row>
    <row r="356" spans="10:12">
      <c r="J356" s="438">
        <f>(Feuil1!A351)</f>
        <v>45686.840324074074</v>
      </c>
      <c r="K356" s="418">
        <f>(Feuil1!B351)</f>
        <v>0</v>
      </c>
      <c r="L356" s="418">
        <v>350</v>
      </c>
    </row>
    <row r="357" spans="10:12">
      <c r="J357" s="438">
        <f>(Feuil1!A352)</f>
        <v>45687.840324074074</v>
      </c>
      <c r="K357" s="418">
        <f>(Feuil1!B352)</f>
        <v>0</v>
      </c>
      <c r="L357" s="418">
        <v>351</v>
      </c>
    </row>
    <row r="358" spans="10:12">
      <c r="J358" s="438">
        <f>(Feuil1!A353)</f>
        <v>45688.840324074074</v>
      </c>
      <c r="K358" s="418">
        <f>(Feuil1!B353)</f>
        <v>0</v>
      </c>
      <c r="L358" s="418">
        <v>352</v>
      </c>
    </row>
    <row r="359" spans="10:12">
      <c r="J359" s="438">
        <f>(Feuil1!A354)</f>
        <v>45689.840324074074</v>
      </c>
      <c r="K359" s="418">
        <f>(Feuil1!B354)</f>
        <v>0</v>
      </c>
      <c r="L359" s="418">
        <v>353</v>
      </c>
    </row>
    <row r="360" spans="10:12">
      <c r="J360" s="438">
        <f>(Feuil1!A355)</f>
        <v>45690.840324074074</v>
      </c>
      <c r="K360" s="418">
        <f>(Feuil1!B355)</f>
        <v>0</v>
      </c>
      <c r="L360" s="418">
        <v>354</v>
      </c>
    </row>
    <row r="361" spans="10:12">
      <c r="J361" s="438">
        <f>(Feuil1!A356)</f>
        <v>45691.840324074074</v>
      </c>
      <c r="K361" s="418">
        <f>(Feuil1!B356)</f>
        <v>0</v>
      </c>
      <c r="L361" s="418">
        <v>355</v>
      </c>
    </row>
    <row r="362" spans="10:12">
      <c r="J362" s="438">
        <f>(Feuil1!A357)</f>
        <v>45692.840324074074</v>
      </c>
      <c r="K362" s="418">
        <f>(Feuil1!B357)</f>
        <v>0</v>
      </c>
      <c r="L362" s="418">
        <v>356</v>
      </c>
    </row>
    <row r="363" spans="10:12">
      <c r="J363" s="438">
        <f>(Feuil1!A358)</f>
        <v>45693.840324074074</v>
      </c>
      <c r="K363" s="418">
        <f>(Feuil1!B358)</f>
        <v>0</v>
      </c>
      <c r="L363" s="418">
        <v>357</v>
      </c>
    </row>
    <row r="364" spans="10:12">
      <c r="J364" s="438">
        <f>(Feuil1!A359)</f>
        <v>45694.840324074074</v>
      </c>
      <c r="K364" s="418">
        <f>(Feuil1!B359)</f>
        <v>0</v>
      </c>
      <c r="L364" s="418">
        <v>358</v>
      </c>
    </row>
    <row r="365" spans="10:12">
      <c r="J365" s="438">
        <f>(Feuil1!A360)</f>
        <v>45695.840324074074</v>
      </c>
      <c r="K365" s="418">
        <f>(Feuil1!B360)</f>
        <v>0</v>
      </c>
      <c r="L365" s="418">
        <v>359</v>
      </c>
    </row>
    <row r="366" spans="10:12">
      <c r="J366" s="438">
        <f>(Feuil1!A361)</f>
        <v>45696.840324074074</v>
      </c>
      <c r="K366" s="418">
        <f>(Feuil1!B361)</f>
        <v>0</v>
      </c>
      <c r="L366" s="418">
        <v>360</v>
      </c>
    </row>
    <row r="367" spans="10:12">
      <c r="J367" s="438">
        <f>(Feuil1!A362)</f>
        <v>45697.840324074074</v>
      </c>
      <c r="K367" s="418">
        <f>(Feuil1!B362)</f>
        <v>0</v>
      </c>
      <c r="L367" s="418">
        <v>361</v>
      </c>
    </row>
    <row r="368" spans="10:12">
      <c r="J368" s="438">
        <f>(Feuil1!A363)</f>
        <v>45698.840324074074</v>
      </c>
      <c r="K368" s="418">
        <f>(Feuil1!B363)</f>
        <v>0</v>
      </c>
      <c r="L368" s="418">
        <v>362</v>
      </c>
    </row>
    <row r="369" spans="10:12">
      <c r="J369" s="438">
        <f>(Feuil1!A364)</f>
        <v>45699.840324074074</v>
      </c>
      <c r="K369" s="418">
        <f>(Feuil1!B364)</f>
        <v>0</v>
      </c>
      <c r="L369" s="418">
        <v>363</v>
      </c>
    </row>
    <row r="370" spans="10:12">
      <c r="J370" s="438">
        <f>(Feuil1!A365)</f>
        <v>45700.840324074074</v>
      </c>
      <c r="K370" s="418">
        <f>(Feuil1!B365)</f>
        <v>0</v>
      </c>
      <c r="L370" s="418">
        <v>364</v>
      </c>
    </row>
    <row r="371" spans="10:12">
      <c r="J371" s="438">
        <f>(Feuil1!A366)</f>
        <v>45701.840324074074</v>
      </c>
      <c r="K371" s="418">
        <f>(Feuil1!B366)</f>
        <v>0</v>
      </c>
      <c r="L371" s="418">
        <v>365</v>
      </c>
    </row>
    <row r="372" spans="10:12">
      <c r="J372" s="438">
        <f>(Feuil1!A367)</f>
        <v>45702.840324074074</v>
      </c>
      <c r="K372" s="418">
        <f>(Feuil1!B367)</f>
        <v>0</v>
      </c>
      <c r="L372" s="418">
        <v>366</v>
      </c>
    </row>
  </sheetData>
  <sheetProtection selectLockedCells="1"/>
  <mergeCells count="2">
    <mergeCell ref="B16:C18"/>
    <mergeCell ref="D16:D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1810" r:id="rId4" name="Drop Down 2">
              <controlPr defaultSize="0" autoLine="0" autoPict="0">
                <anchor moveWithCells="1">
                  <from>
                    <xdr:col>1</xdr:col>
                    <xdr:colOff>1476375</xdr:colOff>
                    <xdr:row>2</xdr:row>
                    <xdr:rowOff>333375</xdr:rowOff>
                  </from>
                  <to>
                    <xdr:col>3</xdr:col>
                    <xdr:colOff>38100</xdr:colOff>
                    <xdr:row>4</xdr:row>
                    <xdr:rowOff>47625</xdr:rowOff>
                  </to>
                </anchor>
              </controlPr>
            </control>
          </mc:Choice>
        </mc:AlternateContent>
        <mc:AlternateContent xmlns:mc="http://schemas.openxmlformats.org/markup-compatibility/2006">
          <mc:Choice Requires="x14">
            <control shapeId="631819" r:id="rId5" name="Button 11">
              <controlPr defaultSize="0" autoFill="0" autoPict="0" macro="[0]!SaisiePoids">
                <anchor moveWithCells="1" sizeWithCells="1">
                  <from>
                    <xdr:col>2</xdr:col>
                    <xdr:colOff>990600</xdr:colOff>
                    <xdr:row>5</xdr:row>
                    <xdr:rowOff>238125</xdr:rowOff>
                  </from>
                  <to>
                    <xdr:col>4</xdr:col>
                    <xdr:colOff>123825</xdr:colOff>
                    <xdr:row>7</xdr:row>
                    <xdr:rowOff>85725</xdr:rowOff>
                  </to>
                </anchor>
              </controlPr>
            </control>
          </mc:Choice>
        </mc:AlternateContent>
        <mc:AlternateContent xmlns:mc="http://schemas.openxmlformats.org/markup-compatibility/2006">
          <mc:Choice Requires="x14">
            <control shapeId="631820" r:id="rId6" name="Button 12">
              <controlPr defaultSize="0" autoFill="0" autoPict="0" macro="[0]!Module1.Feuil1">
                <anchor moveWithCells="1" sizeWithCells="1">
                  <from>
                    <xdr:col>0</xdr:col>
                    <xdr:colOff>733425</xdr:colOff>
                    <xdr:row>8</xdr:row>
                    <xdr:rowOff>238125</xdr:rowOff>
                  </from>
                  <to>
                    <xdr:col>4</xdr:col>
                    <xdr:colOff>104775</xdr:colOff>
                    <xdr:row>11</xdr:row>
                    <xdr:rowOff>85725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7"/>
  <dimension ref="A1:W37"/>
  <sheetViews>
    <sheetView showGridLines="0" showRowColHeaders="0" zoomScaleNormal="100" zoomScalePageLayoutView="120" workbookViewId="0">
      <pane ySplit="3" topLeftCell="A4" activePane="bottomLeft" state="frozen"/>
      <selection pane="bottomLeft" activeCell="B5" sqref="B5"/>
    </sheetView>
  </sheetViews>
  <sheetFormatPr baseColWidth="10" defaultColWidth="11.28515625" defaultRowHeight="12.75"/>
  <cols>
    <col min="1" max="1" width="5.7109375" style="179" customWidth="1"/>
    <col min="2" max="2" width="27.28515625" style="177" customWidth="1"/>
    <col min="3" max="8" width="12.28515625" style="177" customWidth="1"/>
    <col min="9" max="9" width="15.42578125" style="177" customWidth="1"/>
    <col min="10" max="11" width="1.28515625" style="179" customWidth="1"/>
    <col min="12" max="12" width="5.28515625" style="179" customWidth="1"/>
    <col min="13" max="14" width="11.28515625" style="196"/>
    <col min="15" max="15" width="11.28515625" style="179"/>
    <col min="16" max="16384" width="11.28515625" style="177"/>
  </cols>
  <sheetData>
    <row r="1" spans="1:15" ht="42" customHeight="1">
      <c r="A1" s="368"/>
      <c r="B1" s="521" t="s">
        <v>742</v>
      </c>
      <c r="C1" s="522"/>
      <c r="D1" s="522"/>
      <c r="E1" s="522"/>
      <c r="F1" s="176"/>
      <c r="G1" s="176"/>
      <c r="H1" s="176"/>
      <c r="I1" s="176"/>
      <c r="J1" s="194"/>
      <c r="K1" s="194"/>
      <c r="L1" s="195"/>
    </row>
    <row r="2" spans="1:15" ht="46.5" customHeight="1">
      <c r="A2" s="523" t="s">
        <v>743</v>
      </c>
      <c r="B2" s="524"/>
      <c r="C2" s="524"/>
      <c r="D2" s="524"/>
      <c r="E2" s="524"/>
      <c r="F2" s="524"/>
      <c r="G2" s="524"/>
      <c r="H2" s="524"/>
      <c r="I2" s="524"/>
      <c r="J2" s="524"/>
      <c r="K2" s="524"/>
      <c r="L2" s="524"/>
      <c r="M2" s="524"/>
    </row>
    <row r="3" spans="1:15" ht="54.95" customHeight="1" thickBot="1">
      <c r="A3" s="183"/>
      <c r="B3" s="182"/>
      <c r="C3" s="180" t="s">
        <v>653</v>
      </c>
      <c r="D3" s="180" t="s">
        <v>654</v>
      </c>
      <c r="E3" s="180" t="s">
        <v>655</v>
      </c>
      <c r="F3" s="180" t="s">
        <v>656</v>
      </c>
      <c r="G3" s="180" t="s">
        <v>657</v>
      </c>
      <c r="H3" s="180" t="s">
        <v>658</v>
      </c>
      <c r="I3" s="180" t="s">
        <v>703</v>
      </c>
      <c r="J3" s="369"/>
      <c r="K3" s="370"/>
      <c r="L3" s="371"/>
      <c r="M3" s="372"/>
    </row>
    <row r="4" spans="1:15" ht="26.25" customHeight="1" thickBot="1">
      <c r="A4" s="184">
        <v>1</v>
      </c>
      <c r="B4" s="181" t="s">
        <v>659</v>
      </c>
      <c r="C4" s="185"/>
      <c r="D4" s="185"/>
      <c r="E4" s="185"/>
      <c r="F4" s="185"/>
      <c r="G4" s="185"/>
      <c r="H4" s="185"/>
      <c r="I4" s="189"/>
      <c r="J4" s="198">
        <f>IF(M4&gt;I$26,1,0)</f>
        <v>0</v>
      </c>
      <c r="K4" s="199"/>
      <c r="L4" s="373" t="str">
        <f>IF(J4*K4&gt;4,"!","")</f>
        <v/>
      </c>
      <c r="M4" s="387" t="str">
        <f>IF(ISBLANK(N4),"",N4-1)</f>
        <v/>
      </c>
      <c r="N4" s="200"/>
      <c r="O4" s="192">
        <f>IF(ISBLANK(K4),0,IF(ISBLANK(N4),0,1))</f>
        <v>0</v>
      </c>
    </row>
    <row r="5" spans="1:15" ht="26.25" customHeight="1" thickBot="1">
      <c r="A5" s="184">
        <v>2</v>
      </c>
      <c r="B5" s="181" t="s">
        <v>660</v>
      </c>
      <c r="C5" s="185"/>
      <c r="D5" s="185"/>
      <c r="E5" s="185"/>
      <c r="F5" s="185"/>
      <c r="G5" s="185"/>
      <c r="H5" s="185"/>
      <c r="I5" s="189"/>
      <c r="J5" s="198">
        <f t="shared" ref="J5:J25" si="0">IF(M5&gt;I$26,1,0)</f>
        <v>0</v>
      </c>
      <c r="K5" s="199"/>
      <c r="L5" s="373" t="str">
        <f t="shared" ref="L5:L25" si="1">IF(J5*K5&gt;4,"!","")</f>
        <v/>
      </c>
      <c r="M5" s="387" t="str">
        <f t="shared" ref="M5:M25" si="2">IF(ISBLANK(N5),"",N5-1)</f>
        <v/>
      </c>
      <c r="N5" s="200"/>
      <c r="O5" s="192">
        <f t="shared" ref="O5:O25" si="3">IF(ISBLANK(K5),0,IF(ISBLANK(N5),0,1))</f>
        <v>0</v>
      </c>
    </row>
    <row r="6" spans="1:15" ht="26.25" customHeight="1" thickBot="1">
      <c r="A6" s="184">
        <v>3</v>
      </c>
      <c r="B6" s="181" t="s">
        <v>661</v>
      </c>
      <c r="C6" s="185"/>
      <c r="D6" s="185"/>
      <c r="E6" s="185"/>
      <c r="F6" s="185"/>
      <c r="G6" s="185"/>
      <c r="H6" s="185"/>
      <c r="I6" s="189"/>
      <c r="J6" s="198">
        <f t="shared" si="0"/>
        <v>0</v>
      </c>
      <c r="K6" s="199"/>
      <c r="L6" s="373" t="str">
        <f t="shared" si="1"/>
        <v/>
      </c>
      <c r="M6" s="387" t="str">
        <f t="shared" si="2"/>
        <v/>
      </c>
      <c r="N6" s="200"/>
      <c r="O6" s="192">
        <f t="shared" si="3"/>
        <v>0</v>
      </c>
    </row>
    <row r="7" spans="1:15" ht="26.25" customHeight="1" thickBot="1">
      <c r="A7" s="184">
        <v>4</v>
      </c>
      <c r="B7" s="181" t="s">
        <v>662</v>
      </c>
      <c r="C7" s="185"/>
      <c r="D7" s="185"/>
      <c r="E7" s="185"/>
      <c r="F7" s="185"/>
      <c r="G7" s="185"/>
      <c r="H7" s="185"/>
      <c r="I7" s="189"/>
      <c r="J7" s="198">
        <f t="shared" si="0"/>
        <v>0</v>
      </c>
      <c r="K7" s="199"/>
      <c r="L7" s="373" t="str">
        <f t="shared" si="1"/>
        <v/>
      </c>
      <c r="M7" s="387" t="str">
        <f t="shared" si="2"/>
        <v/>
      </c>
      <c r="N7" s="200"/>
      <c r="O7" s="192">
        <f t="shared" si="3"/>
        <v>0</v>
      </c>
    </row>
    <row r="8" spans="1:15" ht="26.25" customHeight="1" thickBot="1">
      <c r="A8" s="184">
        <v>5</v>
      </c>
      <c r="B8" s="181" t="s">
        <v>663</v>
      </c>
      <c r="C8" s="185"/>
      <c r="D8" s="185"/>
      <c r="E8" s="185"/>
      <c r="F8" s="185"/>
      <c r="G8" s="185"/>
      <c r="H8" s="185"/>
      <c r="I8" s="189"/>
      <c r="J8" s="198">
        <f t="shared" si="0"/>
        <v>0</v>
      </c>
      <c r="K8" s="199"/>
      <c r="L8" s="373" t="str">
        <f t="shared" si="1"/>
        <v/>
      </c>
      <c r="M8" s="387" t="str">
        <f t="shared" si="2"/>
        <v/>
      </c>
      <c r="N8" s="200"/>
      <c r="O8" s="192">
        <f t="shared" si="3"/>
        <v>0</v>
      </c>
    </row>
    <row r="9" spans="1:15" ht="26.25" customHeight="1" thickBot="1">
      <c r="A9" s="184">
        <v>6</v>
      </c>
      <c r="B9" s="181" t="s">
        <v>664</v>
      </c>
      <c r="C9" s="185"/>
      <c r="D9" s="185"/>
      <c r="E9" s="185"/>
      <c r="F9" s="185"/>
      <c r="G9" s="185"/>
      <c r="H9" s="185"/>
      <c r="I9" s="189"/>
      <c r="J9" s="198">
        <f t="shared" si="0"/>
        <v>0</v>
      </c>
      <c r="K9" s="199"/>
      <c r="L9" s="373" t="str">
        <f t="shared" si="1"/>
        <v/>
      </c>
      <c r="M9" s="387" t="str">
        <f t="shared" si="2"/>
        <v/>
      </c>
      <c r="N9" s="200"/>
      <c r="O9" s="192">
        <f t="shared" si="3"/>
        <v>0</v>
      </c>
    </row>
    <row r="10" spans="1:15" ht="26.25" customHeight="1" thickBot="1">
      <c r="A10" s="184">
        <v>7</v>
      </c>
      <c r="B10" s="181" t="s">
        <v>665</v>
      </c>
      <c r="C10" s="185"/>
      <c r="D10" s="185"/>
      <c r="E10" s="185"/>
      <c r="F10" s="185"/>
      <c r="G10" s="185"/>
      <c r="H10" s="185"/>
      <c r="I10" s="189"/>
      <c r="J10" s="198">
        <f t="shared" si="0"/>
        <v>0</v>
      </c>
      <c r="K10" s="199"/>
      <c r="L10" s="373" t="str">
        <f t="shared" si="1"/>
        <v/>
      </c>
      <c r="M10" s="387" t="str">
        <f t="shared" si="2"/>
        <v/>
      </c>
      <c r="N10" s="200"/>
      <c r="O10" s="192">
        <f t="shared" si="3"/>
        <v>0</v>
      </c>
    </row>
    <row r="11" spans="1:15" ht="26.25" customHeight="1" thickBot="1">
      <c r="A11" s="184">
        <v>8</v>
      </c>
      <c r="B11" s="181" t="s">
        <v>666</v>
      </c>
      <c r="C11" s="185"/>
      <c r="D11" s="185"/>
      <c r="E11" s="185"/>
      <c r="F11" s="185"/>
      <c r="G11" s="185"/>
      <c r="H11" s="185"/>
      <c r="I11" s="189"/>
      <c r="J11" s="198">
        <f t="shared" si="0"/>
        <v>0</v>
      </c>
      <c r="K11" s="199"/>
      <c r="L11" s="373" t="str">
        <f t="shared" si="1"/>
        <v/>
      </c>
      <c r="M11" s="387" t="str">
        <f t="shared" si="2"/>
        <v/>
      </c>
      <c r="N11" s="200"/>
      <c r="O11" s="192">
        <f t="shared" si="3"/>
        <v>0</v>
      </c>
    </row>
    <row r="12" spans="1:15" ht="26.25" customHeight="1" thickBot="1">
      <c r="A12" s="184">
        <v>9</v>
      </c>
      <c r="B12" s="181" t="s">
        <v>667</v>
      </c>
      <c r="C12" s="185"/>
      <c r="D12" s="185"/>
      <c r="E12" s="185"/>
      <c r="F12" s="185"/>
      <c r="G12" s="185"/>
      <c r="H12" s="185"/>
      <c r="I12" s="189"/>
      <c r="J12" s="198">
        <f t="shared" si="0"/>
        <v>0</v>
      </c>
      <c r="K12" s="199"/>
      <c r="L12" s="373" t="str">
        <f t="shared" si="1"/>
        <v/>
      </c>
      <c r="M12" s="387" t="str">
        <f t="shared" si="2"/>
        <v/>
      </c>
      <c r="N12" s="200"/>
      <c r="O12" s="192">
        <f t="shared" si="3"/>
        <v>0</v>
      </c>
    </row>
    <row r="13" spans="1:15" ht="26.25" customHeight="1" thickBot="1">
      <c r="A13" s="184">
        <v>10</v>
      </c>
      <c r="B13" s="181" t="s">
        <v>668</v>
      </c>
      <c r="C13" s="185"/>
      <c r="D13" s="185"/>
      <c r="E13" s="185"/>
      <c r="F13" s="185"/>
      <c r="G13" s="185"/>
      <c r="H13" s="185"/>
      <c r="I13" s="189"/>
      <c r="J13" s="198">
        <f t="shared" si="0"/>
        <v>0</v>
      </c>
      <c r="K13" s="199"/>
      <c r="L13" s="373" t="str">
        <f t="shared" si="1"/>
        <v/>
      </c>
      <c r="M13" s="387" t="str">
        <f t="shared" si="2"/>
        <v/>
      </c>
      <c r="N13" s="200"/>
      <c r="O13" s="192">
        <f t="shared" si="3"/>
        <v>0</v>
      </c>
    </row>
    <row r="14" spans="1:15" ht="26.25" customHeight="1" thickBot="1">
      <c r="A14" s="184">
        <v>11</v>
      </c>
      <c r="B14" s="181" t="s">
        <v>669</v>
      </c>
      <c r="C14" s="185"/>
      <c r="D14" s="185"/>
      <c r="E14" s="185"/>
      <c r="F14" s="185"/>
      <c r="G14" s="185"/>
      <c r="H14" s="185"/>
      <c r="I14" s="189"/>
      <c r="J14" s="198">
        <f t="shared" si="0"/>
        <v>0</v>
      </c>
      <c r="K14" s="199"/>
      <c r="L14" s="373" t="str">
        <f t="shared" si="1"/>
        <v/>
      </c>
      <c r="M14" s="387" t="str">
        <f t="shared" si="2"/>
        <v/>
      </c>
      <c r="N14" s="200"/>
      <c r="O14" s="192">
        <f t="shared" si="3"/>
        <v>0</v>
      </c>
    </row>
    <row r="15" spans="1:15" ht="26.25" customHeight="1" thickBot="1">
      <c r="A15" s="184">
        <v>12</v>
      </c>
      <c r="B15" s="181" t="s">
        <v>670</v>
      </c>
      <c r="C15" s="185"/>
      <c r="D15" s="185"/>
      <c r="E15" s="185"/>
      <c r="F15" s="185"/>
      <c r="G15" s="185"/>
      <c r="H15" s="185"/>
      <c r="I15" s="189"/>
      <c r="J15" s="198">
        <f t="shared" si="0"/>
        <v>0</v>
      </c>
      <c r="K15" s="199"/>
      <c r="L15" s="373" t="str">
        <f t="shared" si="1"/>
        <v/>
      </c>
      <c r="M15" s="387" t="str">
        <f t="shared" si="2"/>
        <v/>
      </c>
      <c r="N15" s="200"/>
      <c r="O15" s="192">
        <f t="shared" si="3"/>
        <v>0</v>
      </c>
    </row>
    <row r="16" spans="1:15" ht="26.25" customHeight="1" thickBot="1">
      <c r="A16" s="184">
        <v>13</v>
      </c>
      <c r="B16" s="181" t="s">
        <v>704</v>
      </c>
      <c r="C16" s="185"/>
      <c r="D16" s="185"/>
      <c r="E16" s="185"/>
      <c r="F16" s="185"/>
      <c r="G16" s="185"/>
      <c r="H16" s="185"/>
      <c r="I16" s="189"/>
      <c r="J16" s="198">
        <f t="shared" si="0"/>
        <v>0</v>
      </c>
      <c r="K16" s="199"/>
      <c r="L16" s="373" t="str">
        <f t="shared" si="1"/>
        <v/>
      </c>
      <c r="M16" s="387" t="str">
        <f t="shared" si="2"/>
        <v/>
      </c>
      <c r="N16" s="200"/>
      <c r="O16" s="192">
        <f t="shared" si="3"/>
        <v>0</v>
      </c>
    </row>
    <row r="17" spans="1:15" ht="26.25" customHeight="1" thickBot="1">
      <c r="A17" s="184">
        <v>14</v>
      </c>
      <c r="B17" s="181" t="s">
        <v>671</v>
      </c>
      <c r="C17" s="185"/>
      <c r="D17" s="185"/>
      <c r="E17" s="185"/>
      <c r="F17" s="185"/>
      <c r="G17" s="185"/>
      <c r="H17" s="185"/>
      <c r="I17" s="189"/>
      <c r="J17" s="198">
        <f t="shared" si="0"/>
        <v>0</v>
      </c>
      <c r="K17" s="199"/>
      <c r="L17" s="373" t="str">
        <f t="shared" si="1"/>
        <v/>
      </c>
      <c r="M17" s="387" t="str">
        <f t="shared" si="2"/>
        <v/>
      </c>
      <c r="N17" s="200"/>
      <c r="O17" s="192">
        <f t="shared" si="3"/>
        <v>0</v>
      </c>
    </row>
    <row r="18" spans="1:15" ht="26.25" customHeight="1" thickBot="1">
      <c r="A18" s="184">
        <v>15</v>
      </c>
      <c r="B18" s="181" t="s">
        <v>672</v>
      </c>
      <c r="C18" s="185"/>
      <c r="D18" s="185"/>
      <c r="E18" s="185"/>
      <c r="F18" s="185"/>
      <c r="G18" s="185"/>
      <c r="H18" s="185"/>
      <c r="I18" s="189"/>
      <c r="J18" s="198">
        <f t="shared" si="0"/>
        <v>0</v>
      </c>
      <c r="K18" s="199"/>
      <c r="L18" s="373" t="str">
        <f t="shared" si="1"/>
        <v/>
      </c>
      <c r="M18" s="387" t="str">
        <f t="shared" si="2"/>
        <v/>
      </c>
      <c r="N18" s="200"/>
      <c r="O18" s="192">
        <f t="shared" si="3"/>
        <v>0</v>
      </c>
    </row>
    <row r="19" spans="1:15" ht="26.25" customHeight="1" thickBot="1">
      <c r="A19" s="184">
        <v>16</v>
      </c>
      <c r="B19" s="181" t="s">
        <v>673</v>
      </c>
      <c r="C19" s="185"/>
      <c r="D19" s="185"/>
      <c r="E19" s="185"/>
      <c r="F19" s="185"/>
      <c r="G19" s="185"/>
      <c r="H19" s="185"/>
      <c r="I19" s="189"/>
      <c r="J19" s="198">
        <f t="shared" si="0"/>
        <v>0</v>
      </c>
      <c r="K19" s="199"/>
      <c r="L19" s="373" t="str">
        <f t="shared" si="1"/>
        <v/>
      </c>
      <c r="M19" s="387" t="str">
        <f t="shared" si="2"/>
        <v/>
      </c>
      <c r="N19" s="200"/>
      <c r="O19" s="192">
        <f t="shared" si="3"/>
        <v>0</v>
      </c>
    </row>
    <row r="20" spans="1:15" ht="26.25" customHeight="1" thickBot="1">
      <c r="A20" s="184">
        <v>17</v>
      </c>
      <c r="B20" s="181" t="s">
        <v>674</v>
      </c>
      <c r="C20" s="185"/>
      <c r="D20" s="185"/>
      <c r="E20" s="185"/>
      <c r="F20" s="185"/>
      <c r="G20" s="185"/>
      <c r="H20" s="185"/>
      <c r="I20" s="189"/>
      <c r="J20" s="198">
        <f t="shared" si="0"/>
        <v>0</v>
      </c>
      <c r="K20" s="199"/>
      <c r="L20" s="373" t="str">
        <f t="shared" si="1"/>
        <v/>
      </c>
      <c r="M20" s="387" t="str">
        <f t="shared" si="2"/>
        <v/>
      </c>
      <c r="N20" s="200"/>
      <c r="O20" s="192">
        <f t="shared" si="3"/>
        <v>0</v>
      </c>
    </row>
    <row r="21" spans="1:15" ht="26.25" customHeight="1" thickBot="1">
      <c r="A21" s="184">
        <v>18</v>
      </c>
      <c r="B21" s="181" t="s">
        <v>675</v>
      </c>
      <c r="C21" s="185"/>
      <c r="D21" s="185"/>
      <c r="E21" s="185"/>
      <c r="F21" s="185"/>
      <c r="G21" s="185"/>
      <c r="H21" s="185"/>
      <c r="I21" s="189"/>
      <c r="J21" s="198">
        <f t="shared" si="0"/>
        <v>0</v>
      </c>
      <c r="K21" s="199"/>
      <c r="L21" s="373" t="str">
        <f t="shared" si="1"/>
        <v/>
      </c>
      <c r="M21" s="387" t="str">
        <f t="shared" si="2"/>
        <v/>
      </c>
      <c r="N21" s="200"/>
      <c r="O21" s="192">
        <f t="shared" si="3"/>
        <v>0</v>
      </c>
    </row>
    <row r="22" spans="1:15" ht="26.25" customHeight="1" thickBot="1">
      <c r="A22" s="184">
        <v>19</v>
      </c>
      <c r="B22" s="181" t="s">
        <v>676</v>
      </c>
      <c r="C22" s="185"/>
      <c r="D22" s="185"/>
      <c r="E22" s="185"/>
      <c r="F22" s="185"/>
      <c r="G22" s="185"/>
      <c r="H22" s="185"/>
      <c r="I22" s="189"/>
      <c r="J22" s="198">
        <f t="shared" si="0"/>
        <v>0</v>
      </c>
      <c r="K22" s="199"/>
      <c r="L22" s="373" t="str">
        <f t="shared" si="1"/>
        <v/>
      </c>
      <c r="M22" s="387" t="str">
        <f t="shared" si="2"/>
        <v/>
      </c>
      <c r="N22" s="200"/>
      <c r="O22" s="192">
        <f t="shared" si="3"/>
        <v>0</v>
      </c>
    </row>
    <row r="23" spans="1:15" ht="26.25" customHeight="1" thickBot="1">
      <c r="A23" s="184">
        <v>20</v>
      </c>
      <c r="B23" s="181" t="s">
        <v>677</v>
      </c>
      <c r="C23" s="185"/>
      <c r="D23" s="185"/>
      <c r="E23" s="185"/>
      <c r="F23" s="185"/>
      <c r="G23" s="185"/>
      <c r="H23" s="185"/>
      <c r="I23" s="189"/>
      <c r="J23" s="198">
        <f t="shared" si="0"/>
        <v>0</v>
      </c>
      <c r="K23" s="199"/>
      <c r="L23" s="373" t="str">
        <f t="shared" si="1"/>
        <v/>
      </c>
      <c r="M23" s="387" t="str">
        <f t="shared" si="2"/>
        <v/>
      </c>
      <c r="N23" s="200"/>
      <c r="O23" s="192">
        <f t="shared" si="3"/>
        <v>0</v>
      </c>
    </row>
    <row r="24" spans="1:15" ht="26.25" customHeight="1" thickBot="1">
      <c r="A24" s="184">
        <v>21</v>
      </c>
      <c r="B24" s="181" t="s">
        <v>678</v>
      </c>
      <c r="C24" s="185"/>
      <c r="D24" s="185"/>
      <c r="E24" s="185"/>
      <c r="F24" s="185"/>
      <c r="G24" s="185"/>
      <c r="H24" s="185"/>
      <c r="I24" s="189"/>
      <c r="J24" s="198">
        <f t="shared" si="0"/>
        <v>0</v>
      </c>
      <c r="K24" s="199"/>
      <c r="L24" s="373" t="str">
        <f t="shared" si="1"/>
        <v/>
      </c>
      <c r="M24" s="387" t="str">
        <f t="shared" si="2"/>
        <v/>
      </c>
      <c r="N24" s="200"/>
      <c r="O24" s="192">
        <f t="shared" si="3"/>
        <v>0</v>
      </c>
    </row>
    <row r="25" spans="1:15" ht="27" thickBot="1">
      <c r="A25" s="184">
        <v>22</v>
      </c>
      <c r="B25" s="181" t="s">
        <v>679</v>
      </c>
      <c r="C25" s="185"/>
      <c r="D25" s="185"/>
      <c r="E25" s="185"/>
      <c r="F25" s="185"/>
      <c r="G25" s="185"/>
      <c r="H25" s="185"/>
      <c r="I25" s="189"/>
      <c r="J25" s="198">
        <f t="shared" si="0"/>
        <v>0</v>
      </c>
      <c r="K25" s="199"/>
      <c r="L25" s="373" t="str">
        <f t="shared" si="1"/>
        <v/>
      </c>
      <c r="M25" s="387" t="str">
        <f t="shared" si="2"/>
        <v/>
      </c>
      <c r="N25" s="200"/>
      <c r="O25" s="192">
        <f t="shared" si="3"/>
        <v>0</v>
      </c>
    </row>
    <row r="26" spans="1:15" ht="27" thickTop="1">
      <c r="B26" s="178"/>
      <c r="H26" s="191" t="s">
        <v>680</v>
      </c>
      <c r="I26" s="190" t="str">
        <f>IF(N25="","",AVERAGEA(M4:M25))</f>
        <v/>
      </c>
      <c r="J26" s="197"/>
      <c r="K26" s="197"/>
      <c r="L26" s="195"/>
      <c r="O26" s="192">
        <f>SUM(O4:O25)</f>
        <v>0</v>
      </c>
    </row>
    <row r="35" spans="1:23" s="186" customFormat="1">
      <c r="A35" s="192"/>
      <c r="B35" s="186" t="s">
        <v>681</v>
      </c>
      <c r="C35" s="186" t="s">
        <v>682</v>
      </c>
      <c r="D35" s="186" t="s">
        <v>683</v>
      </c>
      <c r="E35" s="186" t="s">
        <v>684</v>
      </c>
      <c r="F35" s="186" t="s">
        <v>685</v>
      </c>
      <c r="G35" s="186" t="s">
        <v>686</v>
      </c>
      <c r="H35" s="186" t="s">
        <v>687</v>
      </c>
      <c r="I35" s="186" t="s">
        <v>688</v>
      </c>
      <c r="J35" s="192" t="s">
        <v>689</v>
      </c>
      <c r="K35" s="192" t="s">
        <v>690</v>
      </c>
      <c r="L35" s="192" t="s">
        <v>691</v>
      </c>
      <c r="M35" s="192" t="s">
        <v>692</v>
      </c>
      <c r="N35" s="192" t="s">
        <v>705</v>
      </c>
      <c r="O35" s="192" t="s">
        <v>693</v>
      </c>
      <c r="P35" s="186" t="s">
        <v>694</v>
      </c>
      <c r="Q35" s="186" t="s">
        <v>695</v>
      </c>
      <c r="R35" s="186" t="s">
        <v>696</v>
      </c>
      <c r="S35" s="186" t="s">
        <v>697</v>
      </c>
      <c r="T35" s="186" t="s">
        <v>698</v>
      </c>
      <c r="U35" s="186" t="s">
        <v>699</v>
      </c>
      <c r="V35" s="186" t="s">
        <v>700</v>
      </c>
      <c r="W35" s="186" t="s">
        <v>701</v>
      </c>
    </row>
    <row r="36" spans="1:23" s="186" customFormat="1">
      <c r="A36" s="192" t="s">
        <v>703</v>
      </c>
      <c r="B36" s="186" t="str">
        <f>M4</f>
        <v/>
      </c>
      <c r="C36" s="186" t="str">
        <f>M5</f>
        <v/>
      </c>
      <c r="D36" s="186" t="str">
        <f>M6</f>
        <v/>
      </c>
      <c r="E36" s="186" t="str">
        <f>M7</f>
        <v/>
      </c>
      <c r="F36" s="186" t="str">
        <f>M8</f>
        <v/>
      </c>
      <c r="G36" s="186" t="str">
        <f>M9</f>
        <v/>
      </c>
      <c r="H36" s="186" t="str">
        <f>M10</f>
        <v/>
      </c>
      <c r="I36" s="186" t="str">
        <f>M11</f>
        <v/>
      </c>
      <c r="J36" s="192" t="str">
        <f>M12</f>
        <v/>
      </c>
      <c r="K36" s="192" t="str">
        <f>M13</f>
        <v/>
      </c>
      <c r="L36" s="192" t="str">
        <f>M14</f>
        <v/>
      </c>
      <c r="M36" s="192" t="str">
        <f>M15</f>
        <v/>
      </c>
      <c r="N36" s="192" t="str">
        <f>M16</f>
        <v/>
      </c>
      <c r="O36" s="192" t="str">
        <f>M17</f>
        <v/>
      </c>
      <c r="P36" s="186" t="str">
        <f>M18</f>
        <v/>
      </c>
      <c r="Q36" s="186" t="str">
        <f>M19</f>
        <v/>
      </c>
      <c r="R36" s="186" t="str">
        <f>M20</f>
        <v/>
      </c>
      <c r="S36" s="186" t="str">
        <f>M21</f>
        <v/>
      </c>
      <c r="T36" s="186" t="str">
        <f>M22</f>
        <v/>
      </c>
      <c r="U36" s="186" t="str">
        <f>M23</f>
        <v/>
      </c>
      <c r="V36" s="186" t="str">
        <f>M24</f>
        <v/>
      </c>
      <c r="W36" s="186" t="str">
        <f>M25</f>
        <v/>
      </c>
    </row>
    <row r="37" spans="1:23" s="186" customFormat="1">
      <c r="A37" s="192" t="s">
        <v>702</v>
      </c>
      <c r="B37" s="186">
        <f>K4</f>
        <v>0</v>
      </c>
      <c r="C37" s="186">
        <f>K5</f>
        <v>0</v>
      </c>
      <c r="D37" s="186">
        <f>K6</f>
        <v>0</v>
      </c>
      <c r="E37" s="186">
        <f>K7</f>
        <v>0</v>
      </c>
      <c r="F37" s="186">
        <f>K8</f>
        <v>0</v>
      </c>
      <c r="G37" s="186">
        <f>K9</f>
        <v>0</v>
      </c>
      <c r="H37" s="186">
        <f>K10</f>
        <v>0</v>
      </c>
      <c r="I37" s="186">
        <f>K11</f>
        <v>0</v>
      </c>
      <c r="J37" s="192">
        <f>K12</f>
        <v>0</v>
      </c>
      <c r="K37" s="192">
        <f>K13</f>
        <v>0</v>
      </c>
      <c r="L37" s="192">
        <f>K14</f>
        <v>0</v>
      </c>
      <c r="M37" s="192">
        <f>K15</f>
        <v>0</v>
      </c>
      <c r="N37" s="192">
        <f>K16</f>
        <v>0</v>
      </c>
      <c r="O37" s="192">
        <f>K17</f>
        <v>0</v>
      </c>
      <c r="P37" s="186">
        <f>K18</f>
        <v>0</v>
      </c>
      <c r="Q37" s="186">
        <f>K19</f>
        <v>0</v>
      </c>
      <c r="R37" s="186">
        <f>K20</f>
        <v>0</v>
      </c>
      <c r="S37" s="186">
        <f>K21</f>
        <v>0</v>
      </c>
      <c r="T37" s="186">
        <f>K22</f>
        <v>0</v>
      </c>
      <c r="U37" s="186">
        <f>K23</f>
        <v>0</v>
      </c>
      <c r="V37" s="186">
        <f>K24</f>
        <v>0</v>
      </c>
      <c r="W37" s="186">
        <f>K25</f>
        <v>0</v>
      </c>
    </row>
  </sheetData>
  <sheetProtection selectLockedCells="1" selectUnlockedCells="1"/>
  <protectedRanges>
    <protectedRange sqref="C4:I25" name="Plage1"/>
  </protectedRanges>
  <mergeCells count="2">
    <mergeCell ref="B1:E1"/>
    <mergeCell ref="A2:M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04161" r:id="rId3" name="Option Button 1">
              <controlPr locked="0" defaultSize="0" autoFill="0" autoLine="0" autoPict="0">
                <anchor moveWithCells="1">
                  <from>
                    <xdr:col>2</xdr:col>
                    <xdr:colOff>352425</xdr:colOff>
                    <xdr:row>3</xdr:row>
                    <xdr:rowOff>85725</xdr:rowOff>
                  </from>
                  <to>
                    <xdr:col>2</xdr:col>
                    <xdr:colOff>600075</xdr:colOff>
                    <xdr:row>3</xdr:row>
                    <xdr:rowOff>276225</xdr:rowOff>
                  </to>
                </anchor>
              </controlPr>
            </control>
          </mc:Choice>
        </mc:AlternateContent>
        <mc:AlternateContent xmlns:mc="http://schemas.openxmlformats.org/markup-compatibility/2006">
          <mc:Choice Requires="x14">
            <control shapeId="604162" r:id="rId4" name="Option Button 2">
              <controlPr locked="0" defaultSize="0" autoFill="0" autoLine="0" autoPict="0">
                <anchor moveWithCells="1">
                  <from>
                    <xdr:col>3</xdr:col>
                    <xdr:colOff>352425</xdr:colOff>
                    <xdr:row>3</xdr:row>
                    <xdr:rowOff>76200</xdr:rowOff>
                  </from>
                  <to>
                    <xdr:col>3</xdr:col>
                    <xdr:colOff>600075</xdr:colOff>
                    <xdr:row>3</xdr:row>
                    <xdr:rowOff>276225</xdr:rowOff>
                  </to>
                </anchor>
              </controlPr>
            </control>
          </mc:Choice>
        </mc:AlternateContent>
        <mc:AlternateContent xmlns:mc="http://schemas.openxmlformats.org/markup-compatibility/2006">
          <mc:Choice Requires="x14">
            <control shapeId="604163" r:id="rId5" name="Option Button 3">
              <controlPr locked="0" defaultSize="0" autoFill="0" autoLine="0" autoPict="0">
                <anchor moveWithCells="1">
                  <from>
                    <xdr:col>4</xdr:col>
                    <xdr:colOff>342900</xdr:colOff>
                    <xdr:row>3</xdr:row>
                    <xdr:rowOff>66675</xdr:rowOff>
                  </from>
                  <to>
                    <xdr:col>4</xdr:col>
                    <xdr:colOff>600075</xdr:colOff>
                    <xdr:row>3</xdr:row>
                    <xdr:rowOff>276225</xdr:rowOff>
                  </to>
                </anchor>
              </controlPr>
            </control>
          </mc:Choice>
        </mc:AlternateContent>
        <mc:AlternateContent xmlns:mc="http://schemas.openxmlformats.org/markup-compatibility/2006">
          <mc:Choice Requires="x14">
            <control shapeId="604164" r:id="rId6" name="Option Button 4">
              <controlPr locked="0" defaultSize="0" autoFill="0" autoLine="0" autoPict="0">
                <anchor moveWithCells="1">
                  <from>
                    <xdr:col>5</xdr:col>
                    <xdr:colOff>342900</xdr:colOff>
                    <xdr:row>3</xdr:row>
                    <xdr:rowOff>66675</xdr:rowOff>
                  </from>
                  <to>
                    <xdr:col>5</xdr:col>
                    <xdr:colOff>600075</xdr:colOff>
                    <xdr:row>3</xdr:row>
                    <xdr:rowOff>276225</xdr:rowOff>
                  </to>
                </anchor>
              </controlPr>
            </control>
          </mc:Choice>
        </mc:AlternateContent>
        <mc:AlternateContent xmlns:mc="http://schemas.openxmlformats.org/markup-compatibility/2006">
          <mc:Choice Requires="x14">
            <control shapeId="604165" r:id="rId7" name="Option Button 5">
              <controlPr locked="0" defaultSize="0" autoFill="0" autoLine="0" autoPict="0">
                <anchor moveWithCells="1">
                  <from>
                    <xdr:col>6</xdr:col>
                    <xdr:colOff>371475</xdr:colOff>
                    <xdr:row>3</xdr:row>
                    <xdr:rowOff>66675</xdr:rowOff>
                  </from>
                  <to>
                    <xdr:col>6</xdr:col>
                    <xdr:colOff>609600</xdr:colOff>
                    <xdr:row>3</xdr:row>
                    <xdr:rowOff>295275</xdr:rowOff>
                  </to>
                </anchor>
              </controlPr>
            </control>
          </mc:Choice>
        </mc:AlternateContent>
        <mc:AlternateContent xmlns:mc="http://schemas.openxmlformats.org/markup-compatibility/2006">
          <mc:Choice Requires="x14">
            <control shapeId="604166" r:id="rId8" name="Option Button 6">
              <controlPr locked="0" defaultSize="0" autoFill="0" autoLine="0" autoPict="0">
                <anchor moveWithCells="1">
                  <from>
                    <xdr:col>7</xdr:col>
                    <xdr:colOff>352425</xdr:colOff>
                    <xdr:row>3</xdr:row>
                    <xdr:rowOff>47625</xdr:rowOff>
                  </from>
                  <to>
                    <xdr:col>7</xdr:col>
                    <xdr:colOff>600075</xdr:colOff>
                    <xdr:row>3</xdr:row>
                    <xdr:rowOff>295275</xdr:rowOff>
                  </to>
                </anchor>
              </controlPr>
            </control>
          </mc:Choice>
        </mc:AlternateContent>
        <mc:AlternateContent xmlns:mc="http://schemas.openxmlformats.org/markup-compatibility/2006">
          <mc:Choice Requires="x14">
            <control shapeId="604167" r:id="rId9" name="Group Box 7">
              <controlPr locked="0" defaultSize="0" autoFill="0" autoPict="0" altText="">
                <anchor moveWithCells="1">
                  <from>
                    <xdr:col>2</xdr:col>
                    <xdr:colOff>0</xdr:colOff>
                    <xdr:row>3</xdr:row>
                    <xdr:rowOff>0</xdr:rowOff>
                  </from>
                  <to>
                    <xdr:col>11</xdr:col>
                    <xdr:colOff>200025</xdr:colOff>
                    <xdr:row>4</xdr:row>
                    <xdr:rowOff>0</xdr:rowOff>
                  </to>
                </anchor>
              </controlPr>
            </control>
          </mc:Choice>
        </mc:AlternateContent>
        <mc:AlternateContent xmlns:mc="http://schemas.openxmlformats.org/markup-compatibility/2006">
          <mc:Choice Requires="x14">
            <control shapeId="604168" r:id="rId10" name="Option Button 8">
              <controlPr defaultSize="0" autoFill="0" autoLine="0" autoPict="0">
                <anchor moveWithCells="1">
                  <from>
                    <xdr:col>2</xdr:col>
                    <xdr:colOff>352425</xdr:colOff>
                    <xdr:row>4</xdr:row>
                    <xdr:rowOff>85725</xdr:rowOff>
                  </from>
                  <to>
                    <xdr:col>2</xdr:col>
                    <xdr:colOff>600075</xdr:colOff>
                    <xdr:row>4</xdr:row>
                    <xdr:rowOff>295275</xdr:rowOff>
                  </to>
                </anchor>
              </controlPr>
            </control>
          </mc:Choice>
        </mc:AlternateContent>
        <mc:AlternateContent xmlns:mc="http://schemas.openxmlformats.org/markup-compatibility/2006">
          <mc:Choice Requires="x14">
            <control shapeId="604169" r:id="rId11" name="Option Button 9">
              <controlPr defaultSize="0" autoFill="0" autoLine="0" autoPict="0">
                <anchor moveWithCells="1">
                  <from>
                    <xdr:col>3</xdr:col>
                    <xdr:colOff>352425</xdr:colOff>
                    <xdr:row>4</xdr:row>
                    <xdr:rowOff>76200</xdr:rowOff>
                  </from>
                  <to>
                    <xdr:col>3</xdr:col>
                    <xdr:colOff>600075</xdr:colOff>
                    <xdr:row>4</xdr:row>
                    <xdr:rowOff>295275</xdr:rowOff>
                  </to>
                </anchor>
              </controlPr>
            </control>
          </mc:Choice>
        </mc:AlternateContent>
        <mc:AlternateContent xmlns:mc="http://schemas.openxmlformats.org/markup-compatibility/2006">
          <mc:Choice Requires="x14">
            <control shapeId="604170" r:id="rId12" name="Option Button 10">
              <controlPr defaultSize="0" autoFill="0" autoLine="0" autoPict="0">
                <anchor moveWithCells="1">
                  <from>
                    <xdr:col>4</xdr:col>
                    <xdr:colOff>342900</xdr:colOff>
                    <xdr:row>4</xdr:row>
                    <xdr:rowOff>66675</xdr:rowOff>
                  </from>
                  <to>
                    <xdr:col>4</xdr:col>
                    <xdr:colOff>600075</xdr:colOff>
                    <xdr:row>4</xdr:row>
                    <xdr:rowOff>295275</xdr:rowOff>
                  </to>
                </anchor>
              </controlPr>
            </control>
          </mc:Choice>
        </mc:AlternateContent>
        <mc:AlternateContent xmlns:mc="http://schemas.openxmlformats.org/markup-compatibility/2006">
          <mc:Choice Requires="x14">
            <control shapeId="604171" r:id="rId13" name="Option Button 11">
              <controlPr defaultSize="0" autoFill="0" autoLine="0" autoPict="0">
                <anchor moveWithCells="1">
                  <from>
                    <xdr:col>5</xdr:col>
                    <xdr:colOff>342900</xdr:colOff>
                    <xdr:row>4</xdr:row>
                    <xdr:rowOff>66675</xdr:rowOff>
                  </from>
                  <to>
                    <xdr:col>5</xdr:col>
                    <xdr:colOff>600075</xdr:colOff>
                    <xdr:row>4</xdr:row>
                    <xdr:rowOff>295275</xdr:rowOff>
                  </to>
                </anchor>
              </controlPr>
            </control>
          </mc:Choice>
        </mc:AlternateContent>
        <mc:AlternateContent xmlns:mc="http://schemas.openxmlformats.org/markup-compatibility/2006">
          <mc:Choice Requires="x14">
            <control shapeId="604172" r:id="rId14" name="Option Button 12">
              <controlPr defaultSize="0" autoFill="0" autoLine="0" autoPict="0">
                <anchor moveWithCells="1">
                  <from>
                    <xdr:col>6</xdr:col>
                    <xdr:colOff>371475</xdr:colOff>
                    <xdr:row>4</xdr:row>
                    <xdr:rowOff>66675</xdr:rowOff>
                  </from>
                  <to>
                    <xdr:col>6</xdr:col>
                    <xdr:colOff>609600</xdr:colOff>
                    <xdr:row>4</xdr:row>
                    <xdr:rowOff>295275</xdr:rowOff>
                  </to>
                </anchor>
              </controlPr>
            </control>
          </mc:Choice>
        </mc:AlternateContent>
        <mc:AlternateContent xmlns:mc="http://schemas.openxmlformats.org/markup-compatibility/2006">
          <mc:Choice Requires="x14">
            <control shapeId="604173" r:id="rId15" name="Option Button 13">
              <controlPr defaultSize="0" autoFill="0" autoLine="0" autoPict="0">
                <anchor moveWithCells="1">
                  <from>
                    <xdr:col>7</xdr:col>
                    <xdr:colOff>352425</xdr:colOff>
                    <xdr:row>4</xdr:row>
                    <xdr:rowOff>47625</xdr:rowOff>
                  </from>
                  <to>
                    <xdr:col>7</xdr:col>
                    <xdr:colOff>600075</xdr:colOff>
                    <xdr:row>4</xdr:row>
                    <xdr:rowOff>295275</xdr:rowOff>
                  </to>
                </anchor>
              </controlPr>
            </control>
          </mc:Choice>
        </mc:AlternateContent>
        <mc:AlternateContent xmlns:mc="http://schemas.openxmlformats.org/markup-compatibility/2006">
          <mc:Choice Requires="x14">
            <control shapeId="604174" r:id="rId16" name="Group Box 14">
              <controlPr defaultSize="0" autoFill="0" autoPict="0" altText="">
                <anchor moveWithCells="1">
                  <from>
                    <xdr:col>2</xdr:col>
                    <xdr:colOff>9525</xdr:colOff>
                    <xdr:row>4</xdr:row>
                    <xdr:rowOff>9525</xdr:rowOff>
                  </from>
                  <to>
                    <xdr:col>11</xdr:col>
                    <xdr:colOff>333375</xdr:colOff>
                    <xdr:row>5</xdr:row>
                    <xdr:rowOff>9525</xdr:rowOff>
                  </to>
                </anchor>
              </controlPr>
            </control>
          </mc:Choice>
        </mc:AlternateContent>
        <mc:AlternateContent xmlns:mc="http://schemas.openxmlformats.org/markup-compatibility/2006">
          <mc:Choice Requires="x14">
            <control shapeId="604175" r:id="rId17" name="Option Button 15">
              <controlPr defaultSize="0" autoFill="0" autoLine="0" autoPict="0">
                <anchor moveWithCells="1">
                  <from>
                    <xdr:col>2</xdr:col>
                    <xdr:colOff>371475</xdr:colOff>
                    <xdr:row>5</xdr:row>
                    <xdr:rowOff>76200</xdr:rowOff>
                  </from>
                  <to>
                    <xdr:col>2</xdr:col>
                    <xdr:colOff>619125</xdr:colOff>
                    <xdr:row>5</xdr:row>
                    <xdr:rowOff>295275</xdr:rowOff>
                  </to>
                </anchor>
              </controlPr>
            </control>
          </mc:Choice>
        </mc:AlternateContent>
        <mc:AlternateContent xmlns:mc="http://schemas.openxmlformats.org/markup-compatibility/2006">
          <mc:Choice Requires="x14">
            <control shapeId="604176" r:id="rId18" name="Option Button 16">
              <controlPr defaultSize="0" autoFill="0" autoLine="0" autoPict="0">
                <anchor moveWithCells="1">
                  <from>
                    <xdr:col>3</xdr:col>
                    <xdr:colOff>371475</xdr:colOff>
                    <xdr:row>5</xdr:row>
                    <xdr:rowOff>66675</xdr:rowOff>
                  </from>
                  <to>
                    <xdr:col>3</xdr:col>
                    <xdr:colOff>619125</xdr:colOff>
                    <xdr:row>5</xdr:row>
                    <xdr:rowOff>295275</xdr:rowOff>
                  </to>
                </anchor>
              </controlPr>
            </control>
          </mc:Choice>
        </mc:AlternateContent>
        <mc:AlternateContent xmlns:mc="http://schemas.openxmlformats.org/markup-compatibility/2006">
          <mc:Choice Requires="x14">
            <control shapeId="604177" r:id="rId19" name="Option Button 17">
              <controlPr defaultSize="0" autoFill="0" autoLine="0" autoPict="0">
                <anchor moveWithCells="1">
                  <from>
                    <xdr:col>4</xdr:col>
                    <xdr:colOff>371475</xdr:colOff>
                    <xdr:row>5</xdr:row>
                    <xdr:rowOff>66675</xdr:rowOff>
                  </from>
                  <to>
                    <xdr:col>4</xdr:col>
                    <xdr:colOff>609600</xdr:colOff>
                    <xdr:row>5</xdr:row>
                    <xdr:rowOff>295275</xdr:rowOff>
                  </to>
                </anchor>
              </controlPr>
            </control>
          </mc:Choice>
        </mc:AlternateContent>
        <mc:AlternateContent xmlns:mc="http://schemas.openxmlformats.org/markup-compatibility/2006">
          <mc:Choice Requires="x14">
            <control shapeId="604178" r:id="rId20" name="Option Button 18">
              <controlPr defaultSize="0" autoFill="0" autoLine="0" autoPict="0">
                <anchor moveWithCells="1">
                  <from>
                    <xdr:col>5</xdr:col>
                    <xdr:colOff>371475</xdr:colOff>
                    <xdr:row>5</xdr:row>
                    <xdr:rowOff>66675</xdr:rowOff>
                  </from>
                  <to>
                    <xdr:col>5</xdr:col>
                    <xdr:colOff>609600</xdr:colOff>
                    <xdr:row>5</xdr:row>
                    <xdr:rowOff>266700</xdr:rowOff>
                  </to>
                </anchor>
              </controlPr>
            </control>
          </mc:Choice>
        </mc:AlternateContent>
        <mc:AlternateContent xmlns:mc="http://schemas.openxmlformats.org/markup-compatibility/2006">
          <mc:Choice Requires="x14">
            <control shapeId="604179" r:id="rId21" name="Option Button 19">
              <controlPr defaultSize="0" autoFill="0" autoLine="0" autoPict="0">
                <anchor moveWithCells="1">
                  <from>
                    <xdr:col>6</xdr:col>
                    <xdr:colOff>381000</xdr:colOff>
                    <xdr:row>5</xdr:row>
                    <xdr:rowOff>66675</xdr:rowOff>
                  </from>
                  <to>
                    <xdr:col>6</xdr:col>
                    <xdr:colOff>581025</xdr:colOff>
                    <xdr:row>5</xdr:row>
                    <xdr:rowOff>276225</xdr:rowOff>
                  </to>
                </anchor>
              </controlPr>
            </control>
          </mc:Choice>
        </mc:AlternateContent>
        <mc:AlternateContent xmlns:mc="http://schemas.openxmlformats.org/markup-compatibility/2006">
          <mc:Choice Requires="x14">
            <control shapeId="604180" r:id="rId22" name="Option Button 20">
              <controlPr defaultSize="0" autoFill="0" autoLine="0" autoPict="0">
                <anchor moveWithCells="1">
                  <from>
                    <xdr:col>7</xdr:col>
                    <xdr:colOff>371475</xdr:colOff>
                    <xdr:row>5</xdr:row>
                    <xdr:rowOff>38100</xdr:rowOff>
                  </from>
                  <to>
                    <xdr:col>7</xdr:col>
                    <xdr:colOff>619125</xdr:colOff>
                    <xdr:row>5</xdr:row>
                    <xdr:rowOff>295275</xdr:rowOff>
                  </to>
                </anchor>
              </controlPr>
            </control>
          </mc:Choice>
        </mc:AlternateContent>
        <mc:AlternateContent xmlns:mc="http://schemas.openxmlformats.org/markup-compatibility/2006">
          <mc:Choice Requires="x14">
            <control shapeId="604181" r:id="rId23" name="Option Button 21">
              <controlPr defaultSize="0" autoFill="0" autoLine="0" autoPict="0">
                <anchor moveWithCells="1">
                  <from>
                    <xdr:col>2</xdr:col>
                    <xdr:colOff>371475</xdr:colOff>
                    <xdr:row>6</xdr:row>
                    <xdr:rowOff>76200</xdr:rowOff>
                  </from>
                  <to>
                    <xdr:col>2</xdr:col>
                    <xdr:colOff>619125</xdr:colOff>
                    <xdr:row>6</xdr:row>
                    <xdr:rowOff>295275</xdr:rowOff>
                  </to>
                </anchor>
              </controlPr>
            </control>
          </mc:Choice>
        </mc:AlternateContent>
        <mc:AlternateContent xmlns:mc="http://schemas.openxmlformats.org/markup-compatibility/2006">
          <mc:Choice Requires="x14">
            <control shapeId="604182" r:id="rId24" name="Option Button 22">
              <controlPr defaultSize="0" autoFill="0" autoLine="0" autoPict="0">
                <anchor moveWithCells="1">
                  <from>
                    <xdr:col>3</xdr:col>
                    <xdr:colOff>371475</xdr:colOff>
                    <xdr:row>6</xdr:row>
                    <xdr:rowOff>66675</xdr:rowOff>
                  </from>
                  <to>
                    <xdr:col>3</xdr:col>
                    <xdr:colOff>619125</xdr:colOff>
                    <xdr:row>6</xdr:row>
                    <xdr:rowOff>295275</xdr:rowOff>
                  </to>
                </anchor>
              </controlPr>
            </control>
          </mc:Choice>
        </mc:AlternateContent>
        <mc:AlternateContent xmlns:mc="http://schemas.openxmlformats.org/markup-compatibility/2006">
          <mc:Choice Requires="x14">
            <control shapeId="604183" r:id="rId25" name="Option Button 23">
              <controlPr defaultSize="0" autoFill="0" autoLine="0" autoPict="0">
                <anchor moveWithCells="1">
                  <from>
                    <xdr:col>4</xdr:col>
                    <xdr:colOff>371475</xdr:colOff>
                    <xdr:row>6</xdr:row>
                    <xdr:rowOff>66675</xdr:rowOff>
                  </from>
                  <to>
                    <xdr:col>4</xdr:col>
                    <xdr:colOff>609600</xdr:colOff>
                    <xdr:row>6</xdr:row>
                    <xdr:rowOff>295275</xdr:rowOff>
                  </to>
                </anchor>
              </controlPr>
            </control>
          </mc:Choice>
        </mc:AlternateContent>
        <mc:AlternateContent xmlns:mc="http://schemas.openxmlformats.org/markup-compatibility/2006">
          <mc:Choice Requires="x14">
            <control shapeId="604184" r:id="rId26" name="Option Button 24">
              <controlPr defaultSize="0" autoFill="0" autoLine="0" autoPict="0">
                <anchor moveWithCells="1">
                  <from>
                    <xdr:col>5</xdr:col>
                    <xdr:colOff>352425</xdr:colOff>
                    <xdr:row>6</xdr:row>
                    <xdr:rowOff>47625</xdr:rowOff>
                  </from>
                  <to>
                    <xdr:col>5</xdr:col>
                    <xdr:colOff>600075</xdr:colOff>
                    <xdr:row>6</xdr:row>
                    <xdr:rowOff>295275</xdr:rowOff>
                  </to>
                </anchor>
              </controlPr>
            </control>
          </mc:Choice>
        </mc:AlternateContent>
        <mc:AlternateContent xmlns:mc="http://schemas.openxmlformats.org/markup-compatibility/2006">
          <mc:Choice Requires="x14">
            <control shapeId="604185" r:id="rId27" name="Option Button 25">
              <controlPr defaultSize="0" autoFill="0" autoLine="0" autoPict="0">
                <anchor moveWithCells="1">
                  <from>
                    <xdr:col>6</xdr:col>
                    <xdr:colOff>371475</xdr:colOff>
                    <xdr:row>6</xdr:row>
                    <xdr:rowOff>66675</xdr:rowOff>
                  </from>
                  <to>
                    <xdr:col>6</xdr:col>
                    <xdr:colOff>619125</xdr:colOff>
                    <xdr:row>6</xdr:row>
                    <xdr:rowOff>276225</xdr:rowOff>
                  </to>
                </anchor>
              </controlPr>
            </control>
          </mc:Choice>
        </mc:AlternateContent>
        <mc:AlternateContent xmlns:mc="http://schemas.openxmlformats.org/markup-compatibility/2006">
          <mc:Choice Requires="x14">
            <control shapeId="604186" r:id="rId28" name="Option Button 26">
              <controlPr defaultSize="0" autoFill="0" autoLine="0" autoPict="0">
                <anchor moveWithCells="1">
                  <from>
                    <xdr:col>7</xdr:col>
                    <xdr:colOff>371475</xdr:colOff>
                    <xdr:row>6</xdr:row>
                    <xdr:rowOff>66675</xdr:rowOff>
                  </from>
                  <to>
                    <xdr:col>7</xdr:col>
                    <xdr:colOff>600075</xdr:colOff>
                    <xdr:row>6</xdr:row>
                    <xdr:rowOff>295275</xdr:rowOff>
                  </to>
                </anchor>
              </controlPr>
            </control>
          </mc:Choice>
        </mc:AlternateContent>
        <mc:AlternateContent xmlns:mc="http://schemas.openxmlformats.org/markup-compatibility/2006">
          <mc:Choice Requires="x14">
            <control shapeId="604187" r:id="rId29" name="Option Button 27">
              <controlPr defaultSize="0" autoFill="0" autoLine="0" autoPict="0">
                <anchor moveWithCells="1">
                  <from>
                    <xdr:col>2</xdr:col>
                    <xdr:colOff>371475</xdr:colOff>
                    <xdr:row>7</xdr:row>
                    <xdr:rowOff>66675</xdr:rowOff>
                  </from>
                  <to>
                    <xdr:col>2</xdr:col>
                    <xdr:colOff>619125</xdr:colOff>
                    <xdr:row>7</xdr:row>
                    <xdr:rowOff>295275</xdr:rowOff>
                  </to>
                </anchor>
              </controlPr>
            </control>
          </mc:Choice>
        </mc:AlternateContent>
        <mc:AlternateContent xmlns:mc="http://schemas.openxmlformats.org/markup-compatibility/2006">
          <mc:Choice Requires="x14">
            <control shapeId="604188" r:id="rId30" name="Option Button 28">
              <controlPr defaultSize="0" autoFill="0" autoLine="0" autoPict="0">
                <anchor moveWithCells="1">
                  <from>
                    <xdr:col>3</xdr:col>
                    <xdr:colOff>371475</xdr:colOff>
                    <xdr:row>7</xdr:row>
                    <xdr:rowOff>66675</xdr:rowOff>
                  </from>
                  <to>
                    <xdr:col>3</xdr:col>
                    <xdr:colOff>619125</xdr:colOff>
                    <xdr:row>7</xdr:row>
                    <xdr:rowOff>295275</xdr:rowOff>
                  </to>
                </anchor>
              </controlPr>
            </control>
          </mc:Choice>
        </mc:AlternateContent>
        <mc:AlternateContent xmlns:mc="http://schemas.openxmlformats.org/markup-compatibility/2006">
          <mc:Choice Requires="x14">
            <control shapeId="604189" r:id="rId31" name="Option Button 29">
              <controlPr defaultSize="0" autoFill="0" autoLine="0" autoPict="0">
                <anchor moveWithCells="1">
                  <from>
                    <xdr:col>4</xdr:col>
                    <xdr:colOff>371475</xdr:colOff>
                    <xdr:row>7</xdr:row>
                    <xdr:rowOff>66675</xdr:rowOff>
                  </from>
                  <to>
                    <xdr:col>4</xdr:col>
                    <xdr:colOff>581025</xdr:colOff>
                    <xdr:row>7</xdr:row>
                    <xdr:rowOff>295275</xdr:rowOff>
                  </to>
                </anchor>
              </controlPr>
            </control>
          </mc:Choice>
        </mc:AlternateContent>
        <mc:AlternateContent xmlns:mc="http://schemas.openxmlformats.org/markup-compatibility/2006">
          <mc:Choice Requires="x14">
            <control shapeId="604190" r:id="rId32" name="Option Button 30">
              <controlPr defaultSize="0" autoFill="0" autoLine="0" autoPict="0">
                <anchor moveWithCells="1">
                  <from>
                    <xdr:col>5</xdr:col>
                    <xdr:colOff>342900</xdr:colOff>
                    <xdr:row>7</xdr:row>
                    <xdr:rowOff>47625</xdr:rowOff>
                  </from>
                  <to>
                    <xdr:col>5</xdr:col>
                    <xdr:colOff>600075</xdr:colOff>
                    <xdr:row>7</xdr:row>
                    <xdr:rowOff>257175</xdr:rowOff>
                  </to>
                </anchor>
              </controlPr>
            </control>
          </mc:Choice>
        </mc:AlternateContent>
        <mc:AlternateContent xmlns:mc="http://schemas.openxmlformats.org/markup-compatibility/2006">
          <mc:Choice Requires="x14">
            <control shapeId="604191" r:id="rId33" name="Option Button 31">
              <controlPr defaultSize="0" autoFill="0" autoLine="0" autoPict="0">
                <anchor moveWithCells="1">
                  <from>
                    <xdr:col>6</xdr:col>
                    <xdr:colOff>371475</xdr:colOff>
                    <xdr:row>7</xdr:row>
                    <xdr:rowOff>66675</xdr:rowOff>
                  </from>
                  <to>
                    <xdr:col>6</xdr:col>
                    <xdr:colOff>619125</xdr:colOff>
                    <xdr:row>7</xdr:row>
                    <xdr:rowOff>295275</xdr:rowOff>
                  </to>
                </anchor>
              </controlPr>
            </control>
          </mc:Choice>
        </mc:AlternateContent>
        <mc:AlternateContent xmlns:mc="http://schemas.openxmlformats.org/markup-compatibility/2006">
          <mc:Choice Requires="x14">
            <control shapeId="604192" r:id="rId34" name="Option Button 32">
              <controlPr defaultSize="0" autoFill="0" autoLine="0" autoPict="0">
                <anchor moveWithCells="1">
                  <from>
                    <xdr:col>7</xdr:col>
                    <xdr:colOff>371475</xdr:colOff>
                    <xdr:row>7</xdr:row>
                    <xdr:rowOff>66675</xdr:rowOff>
                  </from>
                  <to>
                    <xdr:col>7</xdr:col>
                    <xdr:colOff>571500</xdr:colOff>
                    <xdr:row>7</xdr:row>
                    <xdr:rowOff>295275</xdr:rowOff>
                  </to>
                </anchor>
              </controlPr>
            </control>
          </mc:Choice>
        </mc:AlternateContent>
        <mc:AlternateContent xmlns:mc="http://schemas.openxmlformats.org/markup-compatibility/2006">
          <mc:Choice Requires="x14">
            <control shapeId="604193" r:id="rId35" name="Group Box 33">
              <controlPr defaultSize="0" autoFill="0" autoPict="0" altText="">
                <anchor moveWithCells="1">
                  <from>
                    <xdr:col>2</xdr:col>
                    <xdr:colOff>0</xdr:colOff>
                    <xdr:row>5</xdr:row>
                    <xdr:rowOff>0</xdr:rowOff>
                  </from>
                  <to>
                    <xdr:col>11</xdr:col>
                    <xdr:colOff>200025</xdr:colOff>
                    <xdr:row>6</xdr:row>
                    <xdr:rowOff>0</xdr:rowOff>
                  </to>
                </anchor>
              </controlPr>
            </control>
          </mc:Choice>
        </mc:AlternateContent>
        <mc:AlternateContent xmlns:mc="http://schemas.openxmlformats.org/markup-compatibility/2006">
          <mc:Choice Requires="x14">
            <control shapeId="604194" r:id="rId36" name="Option Button 34">
              <controlPr defaultSize="0" autoFill="0" autoLine="0" autoPict="0">
                <anchor moveWithCells="1">
                  <from>
                    <xdr:col>2</xdr:col>
                    <xdr:colOff>371475</xdr:colOff>
                    <xdr:row>8</xdr:row>
                    <xdr:rowOff>66675</xdr:rowOff>
                  </from>
                  <to>
                    <xdr:col>2</xdr:col>
                    <xdr:colOff>609600</xdr:colOff>
                    <xdr:row>8</xdr:row>
                    <xdr:rowOff>295275</xdr:rowOff>
                  </to>
                </anchor>
              </controlPr>
            </control>
          </mc:Choice>
        </mc:AlternateContent>
        <mc:AlternateContent xmlns:mc="http://schemas.openxmlformats.org/markup-compatibility/2006">
          <mc:Choice Requires="x14">
            <control shapeId="604195" r:id="rId37" name="Option Button 35">
              <controlPr defaultSize="0" autoFill="0" autoLine="0" autoPict="0">
                <anchor moveWithCells="1">
                  <from>
                    <xdr:col>3</xdr:col>
                    <xdr:colOff>371475</xdr:colOff>
                    <xdr:row>8</xdr:row>
                    <xdr:rowOff>66675</xdr:rowOff>
                  </from>
                  <to>
                    <xdr:col>3</xdr:col>
                    <xdr:colOff>609600</xdr:colOff>
                    <xdr:row>8</xdr:row>
                    <xdr:rowOff>295275</xdr:rowOff>
                  </to>
                </anchor>
              </controlPr>
            </control>
          </mc:Choice>
        </mc:AlternateContent>
        <mc:AlternateContent xmlns:mc="http://schemas.openxmlformats.org/markup-compatibility/2006">
          <mc:Choice Requires="x14">
            <control shapeId="604196" r:id="rId38" name="Option Button 36">
              <controlPr defaultSize="0" autoFill="0" autoLine="0" autoPict="0">
                <anchor moveWithCells="1">
                  <from>
                    <xdr:col>4</xdr:col>
                    <xdr:colOff>352425</xdr:colOff>
                    <xdr:row>8</xdr:row>
                    <xdr:rowOff>66675</xdr:rowOff>
                  </from>
                  <to>
                    <xdr:col>4</xdr:col>
                    <xdr:colOff>600075</xdr:colOff>
                    <xdr:row>8</xdr:row>
                    <xdr:rowOff>295275</xdr:rowOff>
                  </to>
                </anchor>
              </controlPr>
            </control>
          </mc:Choice>
        </mc:AlternateContent>
        <mc:AlternateContent xmlns:mc="http://schemas.openxmlformats.org/markup-compatibility/2006">
          <mc:Choice Requires="x14">
            <control shapeId="604197" r:id="rId39" name="Option Button 37">
              <controlPr defaultSize="0" autoFill="0" autoLine="0" autoPict="0">
                <anchor moveWithCells="1">
                  <from>
                    <xdr:col>5</xdr:col>
                    <xdr:colOff>371475</xdr:colOff>
                    <xdr:row>8</xdr:row>
                    <xdr:rowOff>66675</xdr:rowOff>
                  </from>
                  <to>
                    <xdr:col>5</xdr:col>
                    <xdr:colOff>600075</xdr:colOff>
                    <xdr:row>8</xdr:row>
                    <xdr:rowOff>276225</xdr:rowOff>
                  </to>
                </anchor>
              </controlPr>
            </control>
          </mc:Choice>
        </mc:AlternateContent>
        <mc:AlternateContent xmlns:mc="http://schemas.openxmlformats.org/markup-compatibility/2006">
          <mc:Choice Requires="x14">
            <control shapeId="604198" r:id="rId40" name="Option Button 38">
              <controlPr defaultSize="0" autoFill="0" autoLine="0" autoPict="0">
                <anchor moveWithCells="1">
                  <from>
                    <xdr:col>6</xdr:col>
                    <xdr:colOff>371475</xdr:colOff>
                    <xdr:row>8</xdr:row>
                    <xdr:rowOff>66675</xdr:rowOff>
                  </from>
                  <to>
                    <xdr:col>6</xdr:col>
                    <xdr:colOff>571500</xdr:colOff>
                    <xdr:row>8</xdr:row>
                    <xdr:rowOff>276225</xdr:rowOff>
                  </to>
                </anchor>
              </controlPr>
            </control>
          </mc:Choice>
        </mc:AlternateContent>
        <mc:AlternateContent xmlns:mc="http://schemas.openxmlformats.org/markup-compatibility/2006">
          <mc:Choice Requires="x14">
            <control shapeId="604199" r:id="rId41" name="Option Button 39">
              <controlPr defaultSize="0" autoFill="0" autoLine="0" autoPict="0">
                <anchor moveWithCells="1">
                  <from>
                    <xdr:col>7</xdr:col>
                    <xdr:colOff>371475</xdr:colOff>
                    <xdr:row>8</xdr:row>
                    <xdr:rowOff>47625</xdr:rowOff>
                  </from>
                  <to>
                    <xdr:col>7</xdr:col>
                    <xdr:colOff>600075</xdr:colOff>
                    <xdr:row>8</xdr:row>
                    <xdr:rowOff>295275</xdr:rowOff>
                  </to>
                </anchor>
              </controlPr>
            </control>
          </mc:Choice>
        </mc:AlternateContent>
        <mc:AlternateContent xmlns:mc="http://schemas.openxmlformats.org/markup-compatibility/2006">
          <mc:Choice Requires="x14">
            <control shapeId="604200" r:id="rId42" name="Group Box 40">
              <controlPr defaultSize="0" autoFill="0" autoPict="0" altText="">
                <anchor moveWithCells="1">
                  <from>
                    <xdr:col>2</xdr:col>
                    <xdr:colOff>0</xdr:colOff>
                    <xdr:row>8</xdr:row>
                    <xdr:rowOff>0</xdr:rowOff>
                  </from>
                  <to>
                    <xdr:col>11</xdr:col>
                    <xdr:colOff>200025</xdr:colOff>
                    <xdr:row>9</xdr:row>
                    <xdr:rowOff>0</xdr:rowOff>
                  </to>
                </anchor>
              </controlPr>
            </control>
          </mc:Choice>
        </mc:AlternateContent>
        <mc:AlternateContent xmlns:mc="http://schemas.openxmlformats.org/markup-compatibility/2006">
          <mc:Choice Requires="x14">
            <control shapeId="604201" r:id="rId43" name="Option Button 41">
              <controlPr defaultSize="0" autoFill="0" autoLine="0" autoPict="0">
                <anchor moveWithCells="1">
                  <from>
                    <xdr:col>2</xdr:col>
                    <xdr:colOff>371475</xdr:colOff>
                    <xdr:row>9</xdr:row>
                    <xdr:rowOff>66675</xdr:rowOff>
                  </from>
                  <to>
                    <xdr:col>2</xdr:col>
                    <xdr:colOff>609600</xdr:colOff>
                    <xdr:row>9</xdr:row>
                    <xdr:rowOff>295275</xdr:rowOff>
                  </to>
                </anchor>
              </controlPr>
            </control>
          </mc:Choice>
        </mc:AlternateContent>
        <mc:AlternateContent xmlns:mc="http://schemas.openxmlformats.org/markup-compatibility/2006">
          <mc:Choice Requires="x14">
            <control shapeId="604202" r:id="rId44" name="Option Button 42">
              <controlPr defaultSize="0" autoFill="0" autoLine="0" autoPict="0">
                <anchor moveWithCells="1">
                  <from>
                    <xdr:col>3</xdr:col>
                    <xdr:colOff>371475</xdr:colOff>
                    <xdr:row>9</xdr:row>
                    <xdr:rowOff>66675</xdr:rowOff>
                  </from>
                  <to>
                    <xdr:col>3</xdr:col>
                    <xdr:colOff>609600</xdr:colOff>
                    <xdr:row>9</xdr:row>
                    <xdr:rowOff>295275</xdr:rowOff>
                  </to>
                </anchor>
              </controlPr>
            </control>
          </mc:Choice>
        </mc:AlternateContent>
        <mc:AlternateContent xmlns:mc="http://schemas.openxmlformats.org/markup-compatibility/2006">
          <mc:Choice Requires="x14">
            <control shapeId="604203" r:id="rId45" name="Option Button 43">
              <controlPr defaultSize="0" autoFill="0" autoLine="0" autoPict="0">
                <anchor moveWithCells="1">
                  <from>
                    <xdr:col>4</xdr:col>
                    <xdr:colOff>352425</xdr:colOff>
                    <xdr:row>9</xdr:row>
                    <xdr:rowOff>66675</xdr:rowOff>
                  </from>
                  <to>
                    <xdr:col>4</xdr:col>
                    <xdr:colOff>600075</xdr:colOff>
                    <xdr:row>9</xdr:row>
                    <xdr:rowOff>304800</xdr:rowOff>
                  </to>
                </anchor>
              </controlPr>
            </control>
          </mc:Choice>
        </mc:AlternateContent>
        <mc:AlternateContent xmlns:mc="http://schemas.openxmlformats.org/markup-compatibility/2006">
          <mc:Choice Requires="x14">
            <control shapeId="604204" r:id="rId46" name="Option Button 44">
              <controlPr defaultSize="0" autoFill="0" autoLine="0" autoPict="0">
                <anchor moveWithCells="1">
                  <from>
                    <xdr:col>5</xdr:col>
                    <xdr:colOff>371475</xdr:colOff>
                    <xdr:row>9</xdr:row>
                    <xdr:rowOff>66675</xdr:rowOff>
                  </from>
                  <to>
                    <xdr:col>5</xdr:col>
                    <xdr:colOff>600075</xdr:colOff>
                    <xdr:row>9</xdr:row>
                    <xdr:rowOff>295275</xdr:rowOff>
                  </to>
                </anchor>
              </controlPr>
            </control>
          </mc:Choice>
        </mc:AlternateContent>
        <mc:AlternateContent xmlns:mc="http://schemas.openxmlformats.org/markup-compatibility/2006">
          <mc:Choice Requires="x14">
            <control shapeId="604205" r:id="rId47" name="Option Button 45">
              <controlPr defaultSize="0" autoFill="0" autoLine="0" autoPict="0">
                <anchor moveWithCells="1">
                  <from>
                    <xdr:col>6</xdr:col>
                    <xdr:colOff>371475</xdr:colOff>
                    <xdr:row>9</xdr:row>
                    <xdr:rowOff>66675</xdr:rowOff>
                  </from>
                  <to>
                    <xdr:col>6</xdr:col>
                    <xdr:colOff>571500</xdr:colOff>
                    <xdr:row>9</xdr:row>
                    <xdr:rowOff>295275</xdr:rowOff>
                  </to>
                </anchor>
              </controlPr>
            </control>
          </mc:Choice>
        </mc:AlternateContent>
        <mc:AlternateContent xmlns:mc="http://schemas.openxmlformats.org/markup-compatibility/2006">
          <mc:Choice Requires="x14">
            <control shapeId="604206" r:id="rId48" name="Option Button 46">
              <controlPr defaultSize="0" autoFill="0" autoLine="0" autoPict="0">
                <anchor moveWithCells="1">
                  <from>
                    <xdr:col>7</xdr:col>
                    <xdr:colOff>371475</xdr:colOff>
                    <xdr:row>9</xdr:row>
                    <xdr:rowOff>47625</xdr:rowOff>
                  </from>
                  <to>
                    <xdr:col>7</xdr:col>
                    <xdr:colOff>600075</xdr:colOff>
                    <xdr:row>9</xdr:row>
                    <xdr:rowOff>304800</xdr:rowOff>
                  </to>
                </anchor>
              </controlPr>
            </control>
          </mc:Choice>
        </mc:AlternateContent>
        <mc:AlternateContent xmlns:mc="http://schemas.openxmlformats.org/markup-compatibility/2006">
          <mc:Choice Requires="x14">
            <control shapeId="604207" r:id="rId49" name="Group Box 47">
              <controlPr defaultSize="0" autoFill="0" autoPict="0" altText="">
                <anchor moveWithCells="1">
                  <from>
                    <xdr:col>2</xdr:col>
                    <xdr:colOff>0</xdr:colOff>
                    <xdr:row>9</xdr:row>
                    <xdr:rowOff>0</xdr:rowOff>
                  </from>
                  <to>
                    <xdr:col>11</xdr:col>
                    <xdr:colOff>200025</xdr:colOff>
                    <xdr:row>10</xdr:row>
                    <xdr:rowOff>0</xdr:rowOff>
                  </to>
                </anchor>
              </controlPr>
            </control>
          </mc:Choice>
        </mc:AlternateContent>
        <mc:AlternateContent xmlns:mc="http://schemas.openxmlformats.org/markup-compatibility/2006">
          <mc:Choice Requires="x14">
            <control shapeId="604208" r:id="rId50" name="Option Button 48">
              <controlPr defaultSize="0" autoFill="0" autoLine="0" autoPict="0">
                <anchor moveWithCells="1">
                  <from>
                    <xdr:col>2</xdr:col>
                    <xdr:colOff>371475</xdr:colOff>
                    <xdr:row>10</xdr:row>
                    <xdr:rowOff>38100</xdr:rowOff>
                  </from>
                  <to>
                    <xdr:col>2</xdr:col>
                    <xdr:colOff>609600</xdr:colOff>
                    <xdr:row>10</xdr:row>
                    <xdr:rowOff>276225</xdr:rowOff>
                  </to>
                </anchor>
              </controlPr>
            </control>
          </mc:Choice>
        </mc:AlternateContent>
        <mc:AlternateContent xmlns:mc="http://schemas.openxmlformats.org/markup-compatibility/2006">
          <mc:Choice Requires="x14">
            <control shapeId="604209" r:id="rId51" name="Option Button 49">
              <controlPr defaultSize="0" autoFill="0" autoLine="0" autoPict="0">
                <anchor moveWithCells="1">
                  <from>
                    <xdr:col>3</xdr:col>
                    <xdr:colOff>371475</xdr:colOff>
                    <xdr:row>10</xdr:row>
                    <xdr:rowOff>28575</xdr:rowOff>
                  </from>
                  <to>
                    <xdr:col>3</xdr:col>
                    <xdr:colOff>609600</xdr:colOff>
                    <xdr:row>10</xdr:row>
                    <xdr:rowOff>276225</xdr:rowOff>
                  </to>
                </anchor>
              </controlPr>
            </control>
          </mc:Choice>
        </mc:AlternateContent>
        <mc:AlternateContent xmlns:mc="http://schemas.openxmlformats.org/markup-compatibility/2006">
          <mc:Choice Requires="x14">
            <control shapeId="604210" r:id="rId52" name="Option Button 50">
              <controlPr defaultSize="0" autoFill="0" autoLine="0" autoPict="0">
                <anchor moveWithCells="1">
                  <from>
                    <xdr:col>4</xdr:col>
                    <xdr:colOff>352425</xdr:colOff>
                    <xdr:row>10</xdr:row>
                    <xdr:rowOff>28575</xdr:rowOff>
                  </from>
                  <to>
                    <xdr:col>4</xdr:col>
                    <xdr:colOff>600075</xdr:colOff>
                    <xdr:row>10</xdr:row>
                    <xdr:rowOff>295275</xdr:rowOff>
                  </to>
                </anchor>
              </controlPr>
            </control>
          </mc:Choice>
        </mc:AlternateContent>
        <mc:AlternateContent xmlns:mc="http://schemas.openxmlformats.org/markup-compatibility/2006">
          <mc:Choice Requires="x14">
            <control shapeId="604211" r:id="rId53" name="Option Button 51">
              <controlPr defaultSize="0" autoFill="0" autoLine="0" autoPict="0">
                <anchor moveWithCells="1">
                  <from>
                    <xdr:col>5</xdr:col>
                    <xdr:colOff>371475</xdr:colOff>
                    <xdr:row>10</xdr:row>
                    <xdr:rowOff>38100</xdr:rowOff>
                  </from>
                  <to>
                    <xdr:col>5</xdr:col>
                    <xdr:colOff>600075</xdr:colOff>
                    <xdr:row>10</xdr:row>
                    <xdr:rowOff>266700</xdr:rowOff>
                  </to>
                </anchor>
              </controlPr>
            </control>
          </mc:Choice>
        </mc:AlternateContent>
        <mc:AlternateContent xmlns:mc="http://schemas.openxmlformats.org/markup-compatibility/2006">
          <mc:Choice Requires="x14">
            <control shapeId="604212" r:id="rId54" name="Option Button 52">
              <controlPr defaultSize="0" autoFill="0" autoLine="0" autoPict="0">
                <anchor moveWithCells="1">
                  <from>
                    <xdr:col>6</xdr:col>
                    <xdr:colOff>371475</xdr:colOff>
                    <xdr:row>10</xdr:row>
                    <xdr:rowOff>38100</xdr:rowOff>
                  </from>
                  <to>
                    <xdr:col>6</xdr:col>
                    <xdr:colOff>571500</xdr:colOff>
                    <xdr:row>10</xdr:row>
                    <xdr:rowOff>266700</xdr:rowOff>
                  </to>
                </anchor>
              </controlPr>
            </control>
          </mc:Choice>
        </mc:AlternateContent>
        <mc:AlternateContent xmlns:mc="http://schemas.openxmlformats.org/markup-compatibility/2006">
          <mc:Choice Requires="x14">
            <control shapeId="604213" r:id="rId55" name="Option Button 53">
              <controlPr defaultSize="0" autoFill="0" autoLine="0" autoPict="0">
                <anchor moveWithCells="1">
                  <from>
                    <xdr:col>7</xdr:col>
                    <xdr:colOff>371475</xdr:colOff>
                    <xdr:row>10</xdr:row>
                    <xdr:rowOff>28575</xdr:rowOff>
                  </from>
                  <to>
                    <xdr:col>7</xdr:col>
                    <xdr:colOff>600075</xdr:colOff>
                    <xdr:row>10</xdr:row>
                    <xdr:rowOff>295275</xdr:rowOff>
                  </to>
                </anchor>
              </controlPr>
            </control>
          </mc:Choice>
        </mc:AlternateContent>
        <mc:AlternateContent xmlns:mc="http://schemas.openxmlformats.org/markup-compatibility/2006">
          <mc:Choice Requires="x14">
            <control shapeId="604214" r:id="rId56" name="Group Box 54">
              <controlPr defaultSize="0" autoFill="0" autoPict="0" altText="">
                <anchor moveWithCells="1">
                  <from>
                    <xdr:col>2</xdr:col>
                    <xdr:colOff>0</xdr:colOff>
                    <xdr:row>10</xdr:row>
                    <xdr:rowOff>0</xdr:rowOff>
                  </from>
                  <to>
                    <xdr:col>11</xdr:col>
                    <xdr:colOff>200025</xdr:colOff>
                    <xdr:row>11</xdr:row>
                    <xdr:rowOff>0</xdr:rowOff>
                  </to>
                </anchor>
              </controlPr>
            </control>
          </mc:Choice>
        </mc:AlternateContent>
        <mc:AlternateContent xmlns:mc="http://schemas.openxmlformats.org/markup-compatibility/2006">
          <mc:Choice Requires="x14">
            <control shapeId="604215" r:id="rId57" name="Option Button 55">
              <controlPr defaultSize="0" autoFill="0" autoLine="0" autoPict="0">
                <anchor moveWithCells="1">
                  <from>
                    <xdr:col>2</xdr:col>
                    <xdr:colOff>371475</xdr:colOff>
                    <xdr:row>11</xdr:row>
                    <xdr:rowOff>38100</xdr:rowOff>
                  </from>
                  <to>
                    <xdr:col>2</xdr:col>
                    <xdr:colOff>609600</xdr:colOff>
                    <xdr:row>11</xdr:row>
                    <xdr:rowOff>295275</xdr:rowOff>
                  </to>
                </anchor>
              </controlPr>
            </control>
          </mc:Choice>
        </mc:AlternateContent>
        <mc:AlternateContent xmlns:mc="http://schemas.openxmlformats.org/markup-compatibility/2006">
          <mc:Choice Requires="x14">
            <control shapeId="604216" r:id="rId58" name="Option Button 56">
              <controlPr defaultSize="0" autoFill="0" autoLine="0" autoPict="0">
                <anchor moveWithCells="1">
                  <from>
                    <xdr:col>3</xdr:col>
                    <xdr:colOff>371475</xdr:colOff>
                    <xdr:row>11</xdr:row>
                    <xdr:rowOff>28575</xdr:rowOff>
                  </from>
                  <to>
                    <xdr:col>3</xdr:col>
                    <xdr:colOff>609600</xdr:colOff>
                    <xdr:row>11</xdr:row>
                    <xdr:rowOff>295275</xdr:rowOff>
                  </to>
                </anchor>
              </controlPr>
            </control>
          </mc:Choice>
        </mc:AlternateContent>
        <mc:AlternateContent xmlns:mc="http://schemas.openxmlformats.org/markup-compatibility/2006">
          <mc:Choice Requires="x14">
            <control shapeId="604217" r:id="rId59" name="Option Button 57">
              <controlPr defaultSize="0" autoFill="0" autoLine="0" autoPict="0">
                <anchor moveWithCells="1">
                  <from>
                    <xdr:col>4</xdr:col>
                    <xdr:colOff>352425</xdr:colOff>
                    <xdr:row>11</xdr:row>
                    <xdr:rowOff>28575</xdr:rowOff>
                  </from>
                  <to>
                    <xdr:col>4</xdr:col>
                    <xdr:colOff>600075</xdr:colOff>
                    <xdr:row>11</xdr:row>
                    <xdr:rowOff>295275</xdr:rowOff>
                  </to>
                </anchor>
              </controlPr>
            </control>
          </mc:Choice>
        </mc:AlternateContent>
        <mc:AlternateContent xmlns:mc="http://schemas.openxmlformats.org/markup-compatibility/2006">
          <mc:Choice Requires="x14">
            <control shapeId="604218" r:id="rId60" name="Option Button 58">
              <controlPr defaultSize="0" autoFill="0" autoLine="0" autoPict="0">
                <anchor moveWithCells="1">
                  <from>
                    <xdr:col>5</xdr:col>
                    <xdr:colOff>371475</xdr:colOff>
                    <xdr:row>11</xdr:row>
                    <xdr:rowOff>38100</xdr:rowOff>
                  </from>
                  <to>
                    <xdr:col>5</xdr:col>
                    <xdr:colOff>600075</xdr:colOff>
                    <xdr:row>11</xdr:row>
                    <xdr:rowOff>276225</xdr:rowOff>
                  </to>
                </anchor>
              </controlPr>
            </control>
          </mc:Choice>
        </mc:AlternateContent>
        <mc:AlternateContent xmlns:mc="http://schemas.openxmlformats.org/markup-compatibility/2006">
          <mc:Choice Requires="x14">
            <control shapeId="604219" r:id="rId61" name="Option Button 59">
              <controlPr defaultSize="0" autoFill="0" autoLine="0" autoPict="0">
                <anchor moveWithCells="1">
                  <from>
                    <xdr:col>6</xdr:col>
                    <xdr:colOff>371475</xdr:colOff>
                    <xdr:row>11</xdr:row>
                    <xdr:rowOff>38100</xdr:rowOff>
                  </from>
                  <to>
                    <xdr:col>6</xdr:col>
                    <xdr:colOff>571500</xdr:colOff>
                    <xdr:row>11</xdr:row>
                    <xdr:rowOff>276225</xdr:rowOff>
                  </to>
                </anchor>
              </controlPr>
            </control>
          </mc:Choice>
        </mc:AlternateContent>
        <mc:AlternateContent xmlns:mc="http://schemas.openxmlformats.org/markup-compatibility/2006">
          <mc:Choice Requires="x14">
            <control shapeId="604220" r:id="rId62" name="Option Button 60">
              <controlPr defaultSize="0" autoFill="0" autoLine="0" autoPict="0">
                <anchor moveWithCells="1">
                  <from>
                    <xdr:col>7</xdr:col>
                    <xdr:colOff>371475</xdr:colOff>
                    <xdr:row>11</xdr:row>
                    <xdr:rowOff>28575</xdr:rowOff>
                  </from>
                  <to>
                    <xdr:col>7</xdr:col>
                    <xdr:colOff>600075</xdr:colOff>
                    <xdr:row>11</xdr:row>
                    <xdr:rowOff>295275</xdr:rowOff>
                  </to>
                </anchor>
              </controlPr>
            </control>
          </mc:Choice>
        </mc:AlternateContent>
        <mc:AlternateContent xmlns:mc="http://schemas.openxmlformats.org/markup-compatibility/2006">
          <mc:Choice Requires="x14">
            <control shapeId="604221" r:id="rId63" name="Group Box 61">
              <controlPr defaultSize="0" autoFill="0" autoPict="0" altText="">
                <anchor moveWithCells="1">
                  <from>
                    <xdr:col>2</xdr:col>
                    <xdr:colOff>0</xdr:colOff>
                    <xdr:row>11</xdr:row>
                    <xdr:rowOff>0</xdr:rowOff>
                  </from>
                  <to>
                    <xdr:col>11</xdr:col>
                    <xdr:colOff>200025</xdr:colOff>
                    <xdr:row>12</xdr:row>
                    <xdr:rowOff>0</xdr:rowOff>
                  </to>
                </anchor>
              </controlPr>
            </control>
          </mc:Choice>
        </mc:AlternateContent>
        <mc:AlternateContent xmlns:mc="http://schemas.openxmlformats.org/markup-compatibility/2006">
          <mc:Choice Requires="x14">
            <control shapeId="604222" r:id="rId64" name="Option Button 62">
              <controlPr defaultSize="0" autoFill="0" autoLine="0" autoPict="0">
                <anchor moveWithCells="1">
                  <from>
                    <xdr:col>2</xdr:col>
                    <xdr:colOff>371475</xdr:colOff>
                    <xdr:row>12</xdr:row>
                    <xdr:rowOff>38100</xdr:rowOff>
                  </from>
                  <to>
                    <xdr:col>2</xdr:col>
                    <xdr:colOff>609600</xdr:colOff>
                    <xdr:row>12</xdr:row>
                    <xdr:rowOff>295275</xdr:rowOff>
                  </to>
                </anchor>
              </controlPr>
            </control>
          </mc:Choice>
        </mc:AlternateContent>
        <mc:AlternateContent xmlns:mc="http://schemas.openxmlformats.org/markup-compatibility/2006">
          <mc:Choice Requires="x14">
            <control shapeId="604223" r:id="rId65" name="Option Button 63">
              <controlPr defaultSize="0" autoFill="0" autoLine="0" autoPict="0">
                <anchor moveWithCells="1">
                  <from>
                    <xdr:col>3</xdr:col>
                    <xdr:colOff>371475</xdr:colOff>
                    <xdr:row>12</xdr:row>
                    <xdr:rowOff>28575</xdr:rowOff>
                  </from>
                  <to>
                    <xdr:col>3</xdr:col>
                    <xdr:colOff>609600</xdr:colOff>
                    <xdr:row>12</xdr:row>
                    <xdr:rowOff>295275</xdr:rowOff>
                  </to>
                </anchor>
              </controlPr>
            </control>
          </mc:Choice>
        </mc:AlternateContent>
        <mc:AlternateContent xmlns:mc="http://schemas.openxmlformats.org/markup-compatibility/2006">
          <mc:Choice Requires="x14">
            <control shapeId="604224" r:id="rId66" name="Option Button 64">
              <controlPr defaultSize="0" autoFill="0" autoLine="0" autoPict="0">
                <anchor moveWithCells="1">
                  <from>
                    <xdr:col>4</xdr:col>
                    <xdr:colOff>352425</xdr:colOff>
                    <xdr:row>12</xdr:row>
                    <xdr:rowOff>28575</xdr:rowOff>
                  </from>
                  <to>
                    <xdr:col>4</xdr:col>
                    <xdr:colOff>600075</xdr:colOff>
                    <xdr:row>12</xdr:row>
                    <xdr:rowOff>304800</xdr:rowOff>
                  </to>
                </anchor>
              </controlPr>
            </control>
          </mc:Choice>
        </mc:AlternateContent>
        <mc:AlternateContent xmlns:mc="http://schemas.openxmlformats.org/markup-compatibility/2006">
          <mc:Choice Requires="x14">
            <control shapeId="604225" r:id="rId67" name="Option Button 65">
              <controlPr defaultSize="0" autoFill="0" autoLine="0" autoPict="0">
                <anchor moveWithCells="1">
                  <from>
                    <xdr:col>5</xdr:col>
                    <xdr:colOff>371475</xdr:colOff>
                    <xdr:row>12</xdr:row>
                    <xdr:rowOff>38100</xdr:rowOff>
                  </from>
                  <to>
                    <xdr:col>5</xdr:col>
                    <xdr:colOff>600075</xdr:colOff>
                    <xdr:row>12</xdr:row>
                    <xdr:rowOff>295275</xdr:rowOff>
                  </to>
                </anchor>
              </controlPr>
            </control>
          </mc:Choice>
        </mc:AlternateContent>
        <mc:AlternateContent xmlns:mc="http://schemas.openxmlformats.org/markup-compatibility/2006">
          <mc:Choice Requires="x14">
            <control shapeId="604226" r:id="rId68" name="Option Button 66">
              <controlPr defaultSize="0" autoFill="0" autoLine="0" autoPict="0">
                <anchor moveWithCells="1">
                  <from>
                    <xdr:col>6</xdr:col>
                    <xdr:colOff>371475</xdr:colOff>
                    <xdr:row>12</xdr:row>
                    <xdr:rowOff>38100</xdr:rowOff>
                  </from>
                  <to>
                    <xdr:col>6</xdr:col>
                    <xdr:colOff>571500</xdr:colOff>
                    <xdr:row>12</xdr:row>
                    <xdr:rowOff>295275</xdr:rowOff>
                  </to>
                </anchor>
              </controlPr>
            </control>
          </mc:Choice>
        </mc:AlternateContent>
        <mc:AlternateContent xmlns:mc="http://schemas.openxmlformats.org/markup-compatibility/2006">
          <mc:Choice Requires="x14">
            <control shapeId="604227" r:id="rId69" name="Option Button 67">
              <controlPr defaultSize="0" autoFill="0" autoLine="0" autoPict="0">
                <anchor moveWithCells="1">
                  <from>
                    <xdr:col>7</xdr:col>
                    <xdr:colOff>371475</xdr:colOff>
                    <xdr:row>12</xdr:row>
                    <xdr:rowOff>28575</xdr:rowOff>
                  </from>
                  <to>
                    <xdr:col>7</xdr:col>
                    <xdr:colOff>600075</xdr:colOff>
                    <xdr:row>12</xdr:row>
                    <xdr:rowOff>304800</xdr:rowOff>
                  </to>
                </anchor>
              </controlPr>
            </control>
          </mc:Choice>
        </mc:AlternateContent>
        <mc:AlternateContent xmlns:mc="http://schemas.openxmlformats.org/markup-compatibility/2006">
          <mc:Choice Requires="x14">
            <control shapeId="604228" r:id="rId70" name="Group Box 68">
              <controlPr defaultSize="0" autoFill="0" autoPict="0" altText="">
                <anchor moveWithCells="1">
                  <from>
                    <xdr:col>2</xdr:col>
                    <xdr:colOff>0</xdr:colOff>
                    <xdr:row>12</xdr:row>
                    <xdr:rowOff>0</xdr:rowOff>
                  </from>
                  <to>
                    <xdr:col>11</xdr:col>
                    <xdr:colOff>200025</xdr:colOff>
                    <xdr:row>13</xdr:row>
                    <xdr:rowOff>0</xdr:rowOff>
                  </to>
                </anchor>
              </controlPr>
            </control>
          </mc:Choice>
        </mc:AlternateContent>
        <mc:AlternateContent xmlns:mc="http://schemas.openxmlformats.org/markup-compatibility/2006">
          <mc:Choice Requires="x14">
            <control shapeId="604229" r:id="rId71" name="Option Button 69">
              <controlPr defaultSize="0" autoFill="0" autoLine="0" autoPict="0">
                <anchor moveWithCells="1">
                  <from>
                    <xdr:col>2</xdr:col>
                    <xdr:colOff>371475</xdr:colOff>
                    <xdr:row>13</xdr:row>
                    <xdr:rowOff>38100</xdr:rowOff>
                  </from>
                  <to>
                    <xdr:col>2</xdr:col>
                    <xdr:colOff>609600</xdr:colOff>
                    <xdr:row>13</xdr:row>
                    <xdr:rowOff>304800</xdr:rowOff>
                  </to>
                </anchor>
              </controlPr>
            </control>
          </mc:Choice>
        </mc:AlternateContent>
        <mc:AlternateContent xmlns:mc="http://schemas.openxmlformats.org/markup-compatibility/2006">
          <mc:Choice Requires="x14">
            <control shapeId="604230" r:id="rId72" name="Option Button 70">
              <controlPr defaultSize="0" autoFill="0" autoLine="0" autoPict="0">
                <anchor moveWithCells="1">
                  <from>
                    <xdr:col>3</xdr:col>
                    <xdr:colOff>371475</xdr:colOff>
                    <xdr:row>13</xdr:row>
                    <xdr:rowOff>28575</xdr:rowOff>
                  </from>
                  <to>
                    <xdr:col>3</xdr:col>
                    <xdr:colOff>609600</xdr:colOff>
                    <xdr:row>13</xdr:row>
                    <xdr:rowOff>304800</xdr:rowOff>
                  </to>
                </anchor>
              </controlPr>
            </control>
          </mc:Choice>
        </mc:AlternateContent>
        <mc:AlternateContent xmlns:mc="http://schemas.openxmlformats.org/markup-compatibility/2006">
          <mc:Choice Requires="x14">
            <control shapeId="604231" r:id="rId73" name="Option Button 71">
              <controlPr defaultSize="0" autoFill="0" autoLine="0" autoPict="0">
                <anchor moveWithCells="1">
                  <from>
                    <xdr:col>4</xdr:col>
                    <xdr:colOff>352425</xdr:colOff>
                    <xdr:row>13</xdr:row>
                    <xdr:rowOff>28575</xdr:rowOff>
                  </from>
                  <to>
                    <xdr:col>4</xdr:col>
                    <xdr:colOff>600075</xdr:colOff>
                    <xdr:row>13</xdr:row>
                    <xdr:rowOff>314325</xdr:rowOff>
                  </to>
                </anchor>
              </controlPr>
            </control>
          </mc:Choice>
        </mc:AlternateContent>
        <mc:AlternateContent xmlns:mc="http://schemas.openxmlformats.org/markup-compatibility/2006">
          <mc:Choice Requires="x14">
            <control shapeId="604232" r:id="rId74" name="Option Button 72">
              <controlPr defaultSize="0" autoFill="0" autoLine="0" autoPict="0">
                <anchor moveWithCells="1">
                  <from>
                    <xdr:col>5</xdr:col>
                    <xdr:colOff>371475</xdr:colOff>
                    <xdr:row>13</xdr:row>
                    <xdr:rowOff>38100</xdr:rowOff>
                  </from>
                  <to>
                    <xdr:col>5</xdr:col>
                    <xdr:colOff>600075</xdr:colOff>
                    <xdr:row>13</xdr:row>
                    <xdr:rowOff>295275</xdr:rowOff>
                  </to>
                </anchor>
              </controlPr>
            </control>
          </mc:Choice>
        </mc:AlternateContent>
        <mc:AlternateContent xmlns:mc="http://schemas.openxmlformats.org/markup-compatibility/2006">
          <mc:Choice Requires="x14">
            <control shapeId="604233" r:id="rId75" name="Option Button 73">
              <controlPr defaultSize="0" autoFill="0" autoLine="0" autoPict="0">
                <anchor moveWithCells="1">
                  <from>
                    <xdr:col>6</xdr:col>
                    <xdr:colOff>371475</xdr:colOff>
                    <xdr:row>13</xdr:row>
                    <xdr:rowOff>38100</xdr:rowOff>
                  </from>
                  <to>
                    <xdr:col>6</xdr:col>
                    <xdr:colOff>571500</xdr:colOff>
                    <xdr:row>13</xdr:row>
                    <xdr:rowOff>295275</xdr:rowOff>
                  </to>
                </anchor>
              </controlPr>
            </control>
          </mc:Choice>
        </mc:AlternateContent>
        <mc:AlternateContent xmlns:mc="http://schemas.openxmlformats.org/markup-compatibility/2006">
          <mc:Choice Requires="x14">
            <control shapeId="604234" r:id="rId76" name="Option Button 74">
              <controlPr defaultSize="0" autoFill="0" autoLine="0" autoPict="0">
                <anchor moveWithCells="1">
                  <from>
                    <xdr:col>7</xdr:col>
                    <xdr:colOff>371475</xdr:colOff>
                    <xdr:row>13</xdr:row>
                    <xdr:rowOff>28575</xdr:rowOff>
                  </from>
                  <to>
                    <xdr:col>7</xdr:col>
                    <xdr:colOff>600075</xdr:colOff>
                    <xdr:row>13</xdr:row>
                    <xdr:rowOff>314325</xdr:rowOff>
                  </to>
                </anchor>
              </controlPr>
            </control>
          </mc:Choice>
        </mc:AlternateContent>
        <mc:AlternateContent xmlns:mc="http://schemas.openxmlformats.org/markup-compatibility/2006">
          <mc:Choice Requires="x14">
            <control shapeId="604235" r:id="rId77" name="Group Box 75">
              <controlPr defaultSize="0" autoFill="0" autoPict="0" altText="">
                <anchor moveWithCells="1">
                  <from>
                    <xdr:col>2</xdr:col>
                    <xdr:colOff>0</xdr:colOff>
                    <xdr:row>13</xdr:row>
                    <xdr:rowOff>0</xdr:rowOff>
                  </from>
                  <to>
                    <xdr:col>11</xdr:col>
                    <xdr:colOff>200025</xdr:colOff>
                    <xdr:row>14</xdr:row>
                    <xdr:rowOff>0</xdr:rowOff>
                  </to>
                </anchor>
              </controlPr>
            </control>
          </mc:Choice>
        </mc:AlternateContent>
        <mc:AlternateContent xmlns:mc="http://schemas.openxmlformats.org/markup-compatibility/2006">
          <mc:Choice Requires="x14">
            <control shapeId="604236" r:id="rId78" name="Option Button 76">
              <controlPr defaultSize="0" autoFill="0" autoLine="0" autoPict="0">
                <anchor moveWithCells="1">
                  <from>
                    <xdr:col>2</xdr:col>
                    <xdr:colOff>371475</xdr:colOff>
                    <xdr:row>14</xdr:row>
                    <xdr:rowOff>38100</xdr:rowOff>
                  </from>
                  <to>
                    <xdr:col>2</xdr:col>
                    <xdr:colOff>609600</xdr:colOff>
                    <xdr:row>14</xdr:row>
                    <xdr:rowOff>314325</xdr:rowOff>
                  </to>
                </anchor>
              </controlPr>
            </control>
          </mc:Choice>
        </mc:AlternateContent>
        <mc:AlternateContent xmlns:mc="http://schemas.openxmlformats.org/markup-compatibility/2006">
          <mc:Choice Requires="x14">
            <control shapeId="604237" r:id="rId79" name="Option Button 77">
              <controlPr defaultSize="0" autoFill="0" autoLine="0" autoPict="0">
                <anchor moveWithCells="1">
                  <from>
                    <xdr:col>3</xdr:col>
                    <xdr:colOff>371475</xdr:colOff>
                    <xdr:row>14</xdr:row>
                    <xdr:rowOff>28575</xdr:rowOff>
                  </from>
                  <to>
                    <xdr:col>3</xdr:col>
                    <xdr:colOff>609600</xdr:colOff>
                    <xdr:row>14</xdr:row>
                    <xdr:rowOff>314325</xdr:rowOff>
                  </to>
                </anchor>
              </controlPr>
            </control>
          </mc:Choice>
        </mc:AlternateContent>
        <mc:AlternateContent xmlns:mc="http://schemas.openxmlformats.org/markup-compatibility/2006">
          <mc:Choice Requires="x14">
            <control shapeId="604238" r:id="rId80" name="Option Button 78">
              <controlPr defaultSize="0" autoFill="0" autoLine="0" autoPict="0">
                <anchor moveWithCells="1">
                  <from>
                    <xdr:col>4</xdr:col>
                    <xdr:colOff>352425</xdr:colOff>
                    <xdr:row>14</xdr:row>
                    <xdr:rowOff>28575</xdr:rowOff>
                  </from>
                  <to>
                    <xdr:col>4</xdr:col>
                    <xdr:colOff>600075</xdr:colOff>
                    <xdr:row>14</xdr:row>
                    <xdr:rowOff>314325</xdr:rowOff>
                  </to>
                </anchor>
              </controlPr>
            </control>
          </mc:Choice>
        </mc:AlternateContent>
        <mc:AlternateContent xmlns:mc="http://schemas.openxmlformats.org/markup-compatibility/2006">
          <mc:Choice Requires="x14">
            <control shapeId="604239" r:id="rId81" name="Option Button 79">
              <controlPr defaultSize="0" autoFill="0" autoLine="0" autoPict="0">
                <anchor moveWithCells="1">
                  <from>
                    <xdr:col>5</xdr:col>
                    <xdr:colOff>371475</xdr:colOff>
                    <xdr:row>14</xdr:row>
                    <xdr:rowOff>38100</xdr:rowOff>
                  </from>
                  <to>
                    <xdr:col>5</xdr:col>
                    <xdr:colOff>600075</xdr:colOff>
                    <xdr:row>14</xdr:row>
                    <xdr:rowOff>304800</xdr:rowOff>
                  </to>
                </anchor>
              </controlPr>
            </control>
          </mc:Choice>
        </mc:AlternateContent>
        <mc:AlternateContent xmlns:mc="http://schemas.openxmlformats.org/markup-compatibility/2006">
          <mc:Choice Requires="x14">
            <control shapeId="604240" r:id="rId82" name="Option Button 80">
              <controlPr defaultSize="0" autoFill="0" autoLine="0" autoPict="0">
                <anchor moveWithCells="1">
                  <from>
                    <xdr:col>6</xdr:col>
                    <xdr:colOff>371475</xdr:colOff>
                    <xdr:row>14</xdr:row>
                    <xdr:rowOff>38100</xdr:rowOff>
                  </from>
                  <to>
                    <xdr:col>6</xdr:col>
                    <xdr:colOff>571500</xdr:colOff>
                    <xdr:row>14</xdr:row>
                    <xdr:rowOff>304800</xdr:rowOff>
                  </to>
                </anchor>
              </controlPr>
            </control>
          </mc:Choice>
        </mc:AlternateContent>
        <mc:AlternateContent xmlns:mc="http://schemas.openxmlformats.org/markup-compatibility/2006">
          <mc:Choice Requires="x14">
            <control shapeId="604241" r:id="rId83" name="Option Button 81">
              <controlPr defaultSize="0" autoFill="0" autoLine="0" autoPict="0">
                <anchor moveWithCells="1">
                  <from>
                    <xdr:col>7</xdr:col>
                    <xdr:colOff>371475</xdr:colOff>
                    <xdr:row>14</xdr:row>
                    <xdr:rowOff>28575</xdr:rowOff>
                  </from>
                  <to>
                    <xdr:col>7</xdr:col>
                    <xdr:colOff>600075</xdr:colOff>
                    <xdr:row>14</xdr:row>
                    <xdr:rowOff>314325</xdr:rowOff>
                  </to>
                </anchor>
              </controlPr>
            </control>
          </mc:Choice>
        </mc:AlternateContent>
        <mc:AlternateContent xmlns:mc="http://schemas.openxmlformats.org/markup-compatibility/2006">
          <mc:Choice Requires="x14">
            <control shapeId="604242" r:id="rId84" name="Group Box 82">
              <controlPr defaultSize="0" autoFill="0" autoPict="0" altText="">
                <anchor moveWithCells="1">
                  <from>
                    <xdr:col>2</xdr:col>
                    <xdr:colOff>0</xdr:colOff>
                    <xdr:row>14</xdr:row>
                    <xdr:rowOff>0</xdr:rowOff>
                  </from>
                  <to>
                    <xdr:col>11</xdr:col>
                    <xdr:colOff>200025</xdr:colOff>
                    <xdr:row>15</xdr:row>
                    <xdr:rowOff>0</xdr:rowOff>
                  </to>
                </anchor>
              </controlPr>
            </control>
          </mc:Choice>
        </mc:AlternateContent>
        <mc:AlternateContent xmlns:mc="http://schemas.openxmlformats.org/markup-compatibility/2006">
          <mc:Choice Requires="x14">
            <control shapeId="604243" r:id="rId85" name="Option Button 83">
              <controlPr defaultSize="0" autoFill="0" autoLine="0" autoPict="0">
                <anchor moveWithCells="1">
                  <from>
                    <xdr:col>2</xdr:col>
                    <xdr:colOff>371475</xdr:colOff>
                    <xdr:row>15</xdr:row>
                    <xdr:rowOff>38100</xdr:rowOff>
                  </from>
                  <to>
                    <xdr:col>2</xdr:col>
                    <xdr:colOff>609600</xdr:colOff>
                    <xdr:row>15</xdr:row>
                    <xdr:rowOff>314325</xdr:rowOff>
                  </to>
                </anchor>
              </controlPr>
            </control>
          </mc:Choice>
        </mc:AlternateContent>
        <mc:AlternateContent xmlns:mc="http://schemas.openxmlformats.org/markup-compatibility/2006">
          <mc:Choice Requires="x14">
            <control shapeId="604244" r:id="rId86" name="Option Button 84">
              <controlPr defaultSize="0" autoFill="0" autoLine="0" autoPict="0">
                <anchor moveWithCells="1">
                  <from>
                    <xdr:col>3</xdr:col>
                    <xdr:colOff>371475</xdr:colOff>
                    <xdr:row>15</xdr:row>
                    <xdr:rowOff>28575</xdr:rowOff>
                  </from>
                  <to>
                    <xdr:col>3</xdr:col>
                    <xdr:colOff>609600</xdr:colOff>
                    <xdr:row>15</xdr:row>
                    <xdr:rowOff>314325</xdr:rowOff>
                  </to>
                </anchor>
              </controlPr>
            </control>
          </mc:Choice>
        </mc:AlternateContent>
        <mc:AlternateContent xmlns:mc="http://schemas.openxmlformats.org/markup-compatibility/2006">
          <mc:Choice Requires="x14">
            <control shapeId="604245" r:id="rId87" name="Option Button 85">
              <controlPr defaultSize="0" autoFill="0" autoLine="0" autoPict="0">
                <anchor moveWithCells="1">
                  <from>
                    <xdr:col>4</xdr:col>
                    <xdr:colOff>352425</xdr:colOff>
                    <xdr:row>15</xdr:row>
                    <xdr:rowOff>28575</xdr:rowOff>
                  </from>
                  <to>
                    <xdr:col>4</xdr:col>
                    <xdr:colOff>600075</xdr:colOff>
                    <xdr:row>15</xdr:row>
                    <xdr:rowOff>314325</xdr:rowOff>
                  </to>
                </anchor>
              </controlPr>
            </control>
          </mc:Choice>
        </mc:AlternateContent>
        <mc:AlternateContent xmlns:mc="http://schemas.openxmlformats.org/markup-compatibility/2006">
          <mc:Choice Requires="x14">
            <control shapeId="604246" r:id="rId88" name="Option Button 86">
              <controlPr defaultSize="0" autoFill="0" autoLine="0" autoPict="0">
                <anchor moveWithCells="1">
                  <from>
                    <xdr:col>5</xdr:col>
                    <xdr:colOff>371475</xdr:colOff>
                    <xdr:row>15</xdr:row>
                    <xdr:rowOff>38100</xdr:rowOff>
                  </from>
                  <to>
                    <xdr:col>5</xdr:col>
                    <xdr:colOff>600075</xdr:colOff>
                    <xdr:row>15</xdr:row>
                    <xdr:rowOff>314325</xdr:rowOff>
                  </to>
                </anchor>
              </controlPr>
            </control>
          </mc:Choice>
        </mc:AlternateContent>
        <mc:AlternateContent xmlns:mc="http://schemas.openxmlformats.org/markup-compatibility/2006">
          <mc:Choice Requires="x14">
            <control shapeId="604247" r:id="rId89" name="Option Button 87">
              <controlPr defaultSize="0" autoFill="0" autoLine="0" autoPict="0">
                <anchor moveWithCells="1">
                  <from>
                    <xdr:col>6</xdr:col>
                    <xdr:colOff>371475</xdr:colOff>
                    <xdr:row>15</xdr:row>
                    <xdr:rowOff>38100</xdr:rowOff>
                  </from>
                  <to>
                    <xdr:col>6</xdr:col>
                    <xdr:colOff>571500</xdr:colOff>
                    <xdr:row>15</xdr:row>
                    <xdr:rowOff>314325</xdr:rowOff>
                  </to>
                </anchor>
              </controlPr>
            </control>
          </mc:Choice>
        </mc:AlternateContent>
        <mc:AlternateContent xmlns:mc="http://schemas.openxmlformats.org/markup-compatibility/2006">
          <mc:Choice Requires="x14">
            <control shapeId="604248" r:id="rId90" name="Option Button 88">
              <controlPr defaultSize="0" autoFill="0" autoLine="0" autoPict="0">
                <anchor moveWithCells="1">
                  <from>
                    <xdr:col>7</xdr:col>
                    <xdr:colOff>371475</xdr:colOff>
                    <xdr:row>15</xdr:row>
                    <xdr:rowOff>28575</xdr:rowOff>
                  </from>
                  <to>
                    <xdr:col>7</xdr:col>
                    <xdr:colOff>600075</xdr:colOff>
                    <xdr:row>15</xdr:row>
                    <xdr:rowOff>314325</xdr:rowOff>
                  </to>
                </anchor>
              </controlPr>
            </control>
          </mc:Choice>
        </mc:AlternateContent>
        <mc:AlternateContent xmlns:mc="http://schemas.openxmlformats.org/markup-compatibility/2006">
          <mc:Choice Requires="x14">
            <control shapeId="604249" r:id="rId91" name="Group Box 89">
              <controlPr defaultSize="0" autoFill="0" autoPict="0" altText="">
                <anchor moveWithCells="1">
                  <from>
                    <xdr:col>2</xdr:col>
                    <xdr:colOff>0</xdr:colOff>
                    <xdr:row>15</xdr:row>
                    <xdr:rowOff>0</xdr:rowOff>
                  </from>
                  <to>
                    <xdr:col>11</xdr:col>
                    <xdr:colOff>200025</xdr:colOff>
                    <xdr:row>16</xdr:row>
                    <xdr:rowOff>0</xdr:rowOff>
                  </to>
                </anchor>
              </controlPr>
            </control>
          </mc:Choice>
        </mc:AlternateContent>
        <mc:AlternateContent xmlns:mc="http://schemas.openxmlformats.org/markup-compatibility/2006">
          <mc:Choice Requires="x14">
            <control shapeId="604250" r:id="rId92" name="Option Button 90">
              <controlPr defaultSize="0" autoFill="0" autoLine="0" autoPict="0">
                <anchor moveWithCells="1">
                  <from>
                    <xdr:col>2</xdr:col>
                    <xdr:colOff>371475</xdr:colOff>
                    <xdr:row>16</xdr:row>
                    <xdr:rowOff>38100</xdr:rowOff>
                  </from>
                  <to>
                    <xdr:col>2</xdr:col>
                    <xdr:colOff>609600</xdr:colOff>
                    <xdr:row>16</xdr:row>
                    <xdr:rowOff>314325</xdr:rowOff>
                  </to>
                </anchor>
              </controlPr>
            </control>
          </mc:Choice>
        </mc:AlternateContent>
        <mc:AlternateContent xmlns:mc="http://schemas.openxmlformats.org/markup-compatibility/2006">
          <mc:Choice Requires="x14">
            <control shapeId="604251" r:id="rId93" name="Option Button 91">
              <controlPr defaultSize="0" autoFill="0" autoLine="0" autoPict="0">
                <anchor moveWithCells="1">
                  <from>
                    <xdr:col>3</xdr:col>
                    <xdr:colOff>371475</xdr:colOff>
                    <xdr:row>16</xdr:row>
                    <xdr:rowOff>28575</xdr:rowOff>
                  </from>
                  <to>
                    <xdr:col>3</xdr:col>
                    <xdr:colOff>609600</xdr:colOff>
                    <xdr:row>16</xdr:row>
                    <xdr:rowOff>314325</xdr:rowOff>
                  </to>
                </anchor>
              </controlPr>
            </control>
          </mc:Choice>
        </mc:AlternateContent>
        <mc:AlternateContent xmlns:mc="http://schemas.openxmlformats.org/markup-compatibility/2006">
          <mc:Choice Requires="x14">
            <control shapeId="604252" r:id="rId94" name="Option Button 92">
              <controlPr defaultSize="0" autoFill="0" autoLine="0" autoPict="0">
                <anchor moveWithCells="1">
                  <from>
                    <xdr:col>4</xdr:col>
                    <xdr:colOff>352425</xdr:colOff>
                    <xdr:row>16</xdr:row>
                    <xdr:rowOff>28575</xdr:rowOff>
                  </from>
                  <to>
                    <xdr:col>4</xdr:col>
                    <xdr:colOff>600075</xdr:colOff>
                    <xdr:row>16</xdr:row>
                    <xdr:rowOff>314325</xdr:rowOff>
                  </to>
                </anchor>
              </controlPr>
            </control>
          </mc:Choice>
        </mc:AlternateContent>
        <mc:AlternateContent xmlns:mc="http://schemas.openxmlformats.org/markup-compatibility/2006">
          <mc:Choice Requires="x14">
            <control shapeId="604253" r:id="rId95" name="Option Button 93">
              <controlPr defaultSize="0" autoFill="0" autoLine="0" autoPict="0">
                <anchor moveWithCells="1">
                  <from>
                    <xdr:col>5</xdr:col>
                    <xdr:colOff>371475</xdr:colOff>
                    <xdr:row>16</xdr:row>
                    <xdr:rowOff>38100</xdr:rowOff>
                  </from>
                  <to>
                    <xdr:col>5</xdr:col>
                    <xdr:colOff>600075</xdr:colOff>
                    <xdr:row>16</xdr:row>
                    <xdr:rowOff>314325</xdr:rowOff>
                  </to>
                </anchor>
              </controlPr>
            </control>
          </mc:Choice>
        </mc:AlternateContent>
        <mc:AlternateContent xmlns:mc="http://schemas.openxmlformats.org/markup-compatibility/2006">
          <mc:Choice Requires="x14">
            <control shapeId="604254" r:id="rId96" name="Option Button 94">
              <controlPr defaultSize="0" autoFill="0" autoLine="0" autoPict="0">
                <anchor moveWithCells="1">
                  <from>
                    <xdr:col>6</xdr:col>
                    <xdr:colOff>371475</xdr:colOff>
                    <xdr:row>16</xdr:row>
                    <xdr:rowOff>38100</xdr:rowOff>
                  </from>
                  <to>
                    <xdr:col>6</xdr:col>
                    <xdr:colOff>571500</xdr:colOff>
                    <xdr:row>16</xdr:row>
                    <xdr:rowOff>314325</xdr:rowOff>
                  </to>
                </anchor>
              </controlPr>
            </control>
          </mc:Choice>
        </mc:AlternateContent>
        <mc:AlternateContent xmlns:mc="http://schemas.openxmlformats.org/markup-compatibility/2006">
          <mc:Choice Requires="x14">
            <control shapeId="604255" r:id="rId97" name="Option Button 95">
              <controlPr defaultSize="0" autoFill="0" autoLine="0" autoPict="0">
                <anchor moveWithCells="1">
                  <from>
                    <xdr:col>7</xdr:col>
                    <xdr:colOff>371475</xdr:colOff>
                    <xdr:row>16</xdr:row>
                    <xdr:rowOff>28575</xdr:rowOff>
                  </from>
                  <to>
                    <xdr:col>7</xdr:col>
                    <xdr:colOff>600075</xdr:colOff>
                    <xdr:row>16</xdr:row>
                    <xdr:rowOff>314325</xdr:rowOff>
                  </to>
                </anchor>
              </controlPr>
            </control>
          </mc:Choice>
        </mc:AlternateContent>
        <mc:AlternateContent xmlns:mc="http://schemas.openxmlformats.org/markup-compatibility/2006">
          <mc:Choice Requires="x14">
            <control shapeId="604256" r:id="rId98" name="Group Box 96">
              <controlPr defaultSize="0" autoFill="0" autoPict="0" altText="">
                <anchor moveWithCells="1">
                  <from>
                    <xdr:col>2</xdr:col>
                    <xdr:colOff>0</xdr:colOff>
                    <xdr:row>16</xdr:row>
                    <xdr:rowOff>0</xdr:rowOff>
                  </from>
                  <to>
                    <xdr:col>11</xdr:col>
                    <xdr:colOff>200025</xdr:colOff>
                    <xdr:row>17</xdr:row>
                    <xdr:rowOff>0</xdr:rowOff>
                  </to>
                </anchor>
              </controlPr>
            </control>
          </mc:Choice>
        </mc:AlternateContent>
        <mc:AlternateContent xmlns:mc="http://schemas.openxmlformats.org/markup-compatibility/2006">
          <mc:Choice Requires="x14">
            <control shapeId="604257" r:id="rId99" name="Option Button 97">
              <controlPr defaultSize="0" autoFill="0" autoLine="0" autoPict="0">
                <anchor moveWithCells="1">
                  <from>
                    <xdr:col>2</xdr:col>
                    <xdr:colOff>371475</xdr:colOff>
                    <xdr:row>17</xdr:row>
                    <xdr:rowOff>38100</xdr:rowOff>
                  </from>
                  <to>
                    <xdr:col>2</xdr:col>
                    <xdr:colOff>609600</xdr:colOff>
                    <xdr:row>17</xdr:row>
                    <xdr:rowOff>314325</xdr:rowOff>
                  </to>
                </anchor>
              </controlPr>
            </control>
          </mc:Choice>
        </mc:AlternateContent>
        <mc:AlternateContent xmlns:mc="http://schemas.openxmlformats.org/markup-compatibility/2006">
          <mc:Choice Requires="x14">
            <control shapeId="604258" r:id="rId100" name="Option Button 98">
              <controlPr defaultSize="0" autoFill="0" autoLine="0" autoPict="0">
                <anchor moveWithCells="1">
                  <from>
                    <xdr:col>3</xdr:col>
                    <xdr:colOff>371475</xdr:colOff>
                    <xdr:row>17</xdr:row>
                    <xdr:rowOff>28575</xdr:rowOff>
                  </from>
                  <to>
                    <xdr:col>3</xdr:col>
                    <xdr:colOff>609600</xdr:colOff>
                    <xdr:row>17</xdr:row>
                    <xdr:rowOff>314325</xdr:rowOff>
                  </to>
                </anchor>
              </controlPr>
            </control>
          </mc:Choice>
        </mc:AlternateContent>
        <mc:AlternateContent xmlns:mc="http://schemas.openxmlformats.org/markup-compatibility/2006">
          <mc:Choice Requires="x14">
            <control shapeId="604259" r:id="rId101" name="Option Button 99">
              <controlPr defaultSize="0" autoFill="0" autoLine="0" autoPict="0">
                <anchor moveWithCells="1">
                  <from>
                    <xdr:col>4</xdr:col>
                    <xdr:colOff>352425</xdr:colOff>
                    <xdr:row>17</xdr:row>
                    <xdr:rowOff>28575</xdr:rowOff>
                  </from>
                  <to>
                    <xdr:col>4</xdr:col>
                    <xdr:colOff>600075</xdr:colOff>
                    <xdr:row>17</xdr:row>
                    <xdr:rowOff>314325</xdr:rowOff>
                  </to>
                </anchor>
              </controlPr>
            </control>
          </mc:Choice>
        </mc:AlternateContent>
        <mc:AlternateContent xmlns:mc="http://schemas.openxmlformats.org/markup-compatibility/2006">
          <mc:Choice Requires="x14">
            <control shapeId="604260" r:id="rId102" name="Option Button 100">
              <controlPr defaultSize="0" autoFill="0" autoLine="0" autoPict="0">
                <anchor moveWithCells="1">
                  <from>
                    <xdr:col>5</xdr:col>
                    <xdr:colOff>371475</xdr:colOff>
                    <xdr:row>17</xdr:row>
                    <xdr:rowOff>38100</xdr:rowOff>
                  </from>
                  <to>
                    <xdr:col>5</xdr:col>
                    <xdr:colOff>600075</xdr:colOff>
                    <xdr:row>17</xdr:row>
                    <xdr:rowOff>314325</xdr:rowOff>
                  </to>
                </anchor>
              </controlPr>
            </control>
          </mc:Choice>
        </mc:AlternateContent>
        <mc:AlternateContent xmlns:mc="http://schemas.openxmlformats.org/markup-compatibility/2006">
          <mc:Choice Requires="x14">
            <control shapeId="604261" r:id="rId103" name="Option Button 101">
              <controlPr defaultSize="0" autoFill="0" autoLine="0" autoPict="0">
                <anchor moveWithCells="1">
                  <from>
                    <xdr:col>6</xdr:col>
                    <xdr:colOff>371475</xdr:colOff>
                    <xdr:row>17</xdr:row>
                    <xdr:rowOff>38100</xdr:rowOff>
                  </from>
                  <to>
                    <xdr:col>6</xdr:col>
                    <xdr:colOff>571500</xdr:colOff>
                    <xdr:row>17</xdr:row>
                    <xdr:rowOff>314325</xdr:rowOff>
                  </to>
                </anchor>
              </controlPr>
            </control>
          </mc:Choice>
        </mc:AlternateContent>
        <mc:AlternateContent xmlns:mc="http://schemas.openxmlformats.org/markup-compatibility/2006">
          <mc:Choice Requires="x14">
            <control shapeId="604262" r:id="rId104" name="Option Button 102">
              <controlPr defaultSize="0" autoFill="0" autoLine="0" autoPict="0">
                <anchor moveWithCells="1">
                  <from>
                    <xdr:col>7</xdr:col>
                    <xdr:colOff>371475</xdr:colOff>
                    <xdr:row>17</xdr:row>
                    <xdr:rowOff>28575</xdr:rowOff>
                  </from>
                  <to>
                    <xdr:col>7</xdr:col>
                    <xdr:colOff>600075</xdr:colOff>
                    <xdr:row>17</xdr:row>
                    <xdr:rowOff>314325</xdr:rowOff>
                  </to>
                </anchor>
              </controlPr>
            </control>
          </mc:Choice>
        </mc:AlternateContent>
        <mc:AlternateContent xmlns:mc="http://schemas.openxmlformats.org/markup-compatibility/2006">
          <mc:Choice Requires="x14">
            <control shapeId="604263" r:id="rId105" name="Group Box 103">
              <controlPr defaultSize="0" autoFill="0" autoPict="0" altText="">
                <anchor moveWithCells="1">
                  <from>
                    <xdr:col>2</xdr:col>
                    <xdr:colOff>0</xdr:colOff>
                    <xdr:row>17</xdr:row>
                    <xdr:rowOff>0</xdr:rowOff>
                  </from>
                  <to>
                    <xdr:col>11</xdr:col>
                    <xdr:colOff>200025</xdr:colOff>
                    <xdr:row>18</xdr:row>
                    <xdr:rowOff>0</xdr:rowOff>
                  </to>
                </anchor>
              </controlPr>
            </control>
          </mc:Choice>
        </mc:AlternateContent>
        <mc:AlternateContent xmlns:mc="http://schemas.openxmlformats.org/markup-compatibility/2006">
          <mc:Choice Requires="x14">
            <control shapeId="604264" r:id="rId106" name="Option Button 104">
              <controlPr defaultSize="0" autoFill="0" autoLine="0" autoPict="0">
                <anchor moveWithCells="1">
                  <from>
                    <xdr:col>2</xdr:col>
                    <xdr:colOff>371475</xdr:colOff>
                    <xdr:row>18</xdr:row>
                    <xdr:rowOff>38100</xdr:rowOff>
                  </from>
                  <to>
                    <xdr:col>2</xdr:col>
                    <xdr:colOff>609600</xdr:colOff>
                    <xdr:row>18</xdr:row>
                    <xdr:rowOff>314325</xdr:rowOff>
                  </to>
                </anchor>
              </controlPr>
            </control>
          </mc:Choice>
        </mc:AlternateContent>
        <mc:AlternateContent xmlns:mc="http://schemas.openxmlformats.org/markup-compatibility/2006">
          <mc:Choice Requires="x14">
            <control shapeId="604265" r:id="rId107" name="Option Button 105">
              <controlPr defaultSize="0" autoFill="0" autoLine="0" autoPict="0">
                <anchor moveWithCells="1">
                  <from>
                    <xdr:col>3</xdr:col>
                    <xdr:colOff>371475</xdr:colOff>
                    <xdr:row>18</xdr:row>
                    <xdr:rowOff>28575</xdr:rowOff>
                  </from>
                  <to>
                    <xdr:col>3</xdr:col>
                    <xdr:colOff>609600</xdr:colOff>
                    <xdr:row>18</xdr:row>
                    <xdr:rowOff>314325</xdr:rowOff>
                  </to>
                </anchor>
              </controlPr>
            </control>
          </mc:Choice>
        </mc:AlternateContent>
        <mc:AlternateContent xmlns:mc="http://schemas.openxmlformats.org/markup-compatibility/2006">
          <mc:Choice Requires="x14">
            <control shapeId="604266" r:id="rId108" name="Option Button 106">
              <controlPr defaultSize="0" autoFill="0" autoLine="0" autoPict="0">
                <anchor moveWithCells="1">
                  <from>
                    <xdr:col>4</xdr:col>
                    <xdr:colOff>352425</xdr:colOff>
                    <xdr:row>18</xdr:row>
                    <xdr:rowOff>28575</xdr:rowOff>
                  </from>
                  <to>
                    <xdr:col>4</xdr:col>
                    <xdr:colOff>600075</xdr:colOff>
                    <xdr:row>18</xdr:row>
                    <xdr:rowOff>314325</xdr:rowOff>
                  </to>
                </anchor>
              </controlPr>
            </control>
          </mc:Choice>
        </mc:AlternateContent>
        <mc:AlternateContent xmlns:mc="http://schemas.openxmlformats.org/markup-compatibility/2006">
          <mc:Choice Requires="x14">
            <control shapeId="604267" r:id="rId109" name="Option Button 107">
              <controlPr defaultSize="0" autoFill="0" autoLine="0" autoPict="0">
                <anchor moveWithCells="1">
                  <from>
                    <xdr:col>5</xdr:col>
                    <xdr:colOff>371475</xdr:colOff>
                    <xdr:row>18</xdr:row>
                    <xdr:rowOff>38100</xdr:rowOff>
                  </from>
                  <to>
                    <xdr:col>5</xdr:col>
                    <xdr:colOff>600075</xdr:colOff>
                    <xdr:row>18</xdr:row>
                    <xdr:rowOff>314325</xdr:rowOff>
                  </to>
                </anchor>
              </controlPr>
            </control>
          </mc:Choice>
        </mc:AlternateContent>
        <mc:AlternateContent xmlns:mc="http://schemas.openxmlformats.org/markup-compatibility/2006">
          <mc:Choice Requires="x14">
            <control shapeId="604268" r:id="rId110" name="Option Button 108">
              <controlPr defaultSize="0" autoFill="0" autoLine="0" autoPict="0">
                <anchor moveWithCells="1">
                  <from>
                    <xdr:col>6</xdr:col>
                    <xdr:colOff>371475</xdr:colOff>
                    <xdr:row>18</xdr:row>
                    <xdr:rowOff>38100</xdr:rowOff>
                  </from>
                  <to>
                    <xdr:col>6</xdr:col>
                    <xdr:colOff>571500</xdr:colOff>
                    <xdr:row>18</xdr:row>
                    <xdr:rowOff>314325</xdr:rowOff>
                  </to>
                </anchor>
              </controlPr>
            </control>
          </mc:Choice>
        </mc:AlternateContent>
        <mc:AlternateContent xmlns:mc="http://schemas.openxmlformats.org/markup-compatibility/2006">
          <mc:Choice Requires="x14">
            <control shapeId="604269" r:id="rId111" name="Option Button 109">
              <controlPr defaultSize="0" autoFill="0" autoLine="0" autoPict="0">
                <anchor moveWithCells="1">
                  <from>
                    <xdr:col>7</xdr:col>
                    <xdr:colOff>371475</xdr:colOff>
                    <xdr:row>18</xdr:row>
                    <xdr:rowOff>28575</xdr:rowOff>
                  </from>
                  <to>
                    <xdr:col>7</xdr:col>
                    <xdr:colOff>600075</xdr:colOff>
                    <xdr:row>18</xdr:row>
                    <xdr:rowOff>314325</xdr:rowOff>
                  </to>
                </anchor>
              </controlPr>
            </control>
          </mc:Choice>
        </mc:AlternateContent>
        <mc:AlternateContent xmlns:mc="http://schemas.openxmlformats.org/markup-compatibility/2006">
          <mc:Choice Requires="x14">
            <control shapeId="604270" r:id="rId112" name="Group Box 110">
              <controlPr defaultSize="0" autoFill="0" autoPict="0" altText="">
                <anchor moveWithCells="1">
                  <from>
                    <xdr:col>2</xdr:col>
                    <xdr:colOff>0</xdr:colOff>
                    <xdr:row>18</xdr:row>
                    <xdr:rowOff>0</xdr:rowOff>
                  </from>
                  <to>
                    <xdr:col>11</xdr:col>
                    <xdr:colOff>200025</xdr:colOff>
                    <xdr:row>19</xdr:row>
                    <xdr:rowOff>0</xdr:rowOff>
                  </to>
                </anchor>
              </controlPr>
            </control>
          </mc:Choice>
        </mc:AlternateContent>
        <mc:AlternateContent xmlns:mc="http://schemas.openxmlformats.org/markup-compatibility/2006">
          <mc:Choice Requires="x14">
            <control shapeId="604271" r:id="rId113" name="Option Button 111">
              <controlPr defaultSize="0" autoFill="0" autoLine="0" autoPict="0">
                <anchor moveWithCells="1">
                  <from>
                    <xdr:col>2</xdr:col>
                    <xdr:colOff>371475</xdr:colOff>
                    <xdr:row>19</xdr:row>
                    <xdr:rowOff>38100</xdr:rowOff>
                  </from>
                  <to>
                    <xdr:col>2</xdr:col>
                    <xdr:colOff>609600</xdr:colOff>
                    <xdr:row>19</xdr:row>
                    <xdr:rowOff>314325</xdr:rowOff>
                  </to>
                </anchor>
              </controlPr>
            </control>
          </mc:Choice>
        </mc:AlternateContent>
        <mc:AlternateContent xmlns:mc="http://schemas.openxmlformats.org/markup-compatibility/2006">
          <mc:Choice Requires="x14">
            <control shapeId="604272" r:id="rId114" name="Option Button 112">
              <controlPr defaultSize="0" autoFill="0" autoLine="0" autoPict="0">
                <anchor moveWithCells="1">
                  <from>
                    <xdr:col>3</xdr:col>
                    <xdr:colOff>371475</xdr:colOff>
                    <xdr:row>19</xdr:row>
                    <xdr:rowOff>28575</xdr:rowOff>
                  </from>
                  <to>
                    <xdr:col>3</xdr:col>
                    <xdr:colOff>609600</xdr:colOff>
                    <xdr:row>19</xdr:row>
                    <xdr:rowOff>314325</xdr:rowOff>
                  </to>
                </anchor>
              </controlPr>
            </control>
          </mc:Choice>
        </mc:AlternateContent>
        <mc:AlternateContent xmlns:mc="http://schemas.openxmlformats.org/markup-compatibility/2006">
          <mc:Choice Requires="x14">
            <control shapeId="604273" r:id="rId115" name="Option Button 113">
              <controlPr defaultSize="0" autoFill="0" autoLine="0" autoPict="0">
                <anchor moveWithCells="1">
                  <from>
                    <xdr:col>4</xdr:col>
                    <xdr:colOff>352425</xdr:colOff>
                    <xdr:row>19</xdr:row>
                    <xdr:rowOff>28575</xdr:rowOff>
                  </from>
                  <to>
                    <xdr:col>4</xdr:col>
                    <xdr:colOff>600075</xdr:colOff>
                    <xdr:row>19</xdr:row>
                    <xdr:rowOff>314325</xdr:rowOff>
                  </to>
                </anchor>
              </controlPr>
            </control>
          </mc:Choice>
        </mc:AlternateContent>
        <mc:AlternateContent xmlns:mc="http://schemas.openxmlformats.org/markup-compatibility/2006">
          <mc:Choice Requires="x14">
            <control shapeId="604274" r:id="rId116" name="Option Button 114">
              <controlPr defaultSize="0" autoFill="0" autoLine="0" autoPict="0">
                <anchor moveWithCells="1">
                  <from>
                    <xdr:col>5</xdr:col>
                    <xdr:colOff>371475</xdr:colOff>
                    <xdr:row>19</xdr:row>
                    <xdr:rowOff>38100</xdr:rowOff>
                  </from>
                  <to>
                    <xdr:col>5</xdr:col>
                    <xdr:colOff>600075</xdr:colOff>
                    <xdr:row>19</xdr:row>
                    <xdr:rowOff>314325</xdr:rowOff>
                  </to>
                </anchor>
              </controlPr>
            </control>
          </mc:Choice>
        </mc:AlternateContent>
        <mc:AlternateContent xmlns:mc="http://schemas.openxmlformats.org/markup-compatibility/2006">
          <mc:Choice Requires="x14">
            <control shapeId="604275" r:id="rId117" name="Option Button 115">
              <controlPr defaultSize="0" autoFill="0" autoLine="0" autoPict="0">
                <anchor moveWithCells="1">
                  <from>
                    <xdr:col>6</xdr:col>
                    <xdr:colOff>371475</xdr:colOff>
                    <xdr:row>19</xdr:row>
                    <xdr:rowOff>38100</xdr:rowOff>
                  </from>
                  <to>
                    <xdr:col>6</xdr:col>
                    <xdr:colOff>571500</xdr:colOff>
                    <xdr:row>19</xdr:row>
                    <xdr:rowOff>314325</xdr:rowOff>
                  </to>
                </anchor>
              </controlPr>
            </control>
          </mc:Choice>
        </mc:AlternateContent>
        <mc:AlternateContent xmlns:mc="http://schemas.openxmlformats.org/markup-compatibility/2006">
          <mc:Choice Requires="x14">
            <control shapeId="604276" r:id="rId118" name="Option Button 116">
              <controlPr defaultSize="0" autoFill="0" autoLine="0" autoPict="0">
                <anchor moveWithCells="1">
                  <from>
                    <xdr:col>7</xdr:col>
                    <xdr:colOff>371475</xdr:colOff>
                    <xdr:row>19</xdr:row>
                    <xdr:rowOff>28575</xdr:rowOff>
                  </from>
                  <to>
                    <xdr:col>7</xdr:col>
                    <xdr:colOff>600075</xdr:colOff>
                    <xdr:row>19</xdr:row>
                    <xdr:rowOff>314325</xdr:rowOff>
                  </to>
                </anchor>
              </controlPr>
            </control>
          </mc:Choice>
        </mc:AlternateContent>
        <mc:AlternateContent xmlns:mc="http://schemas.openxmlformats.org/markup-compatibility/2006">
          <mc:Choice Requires="x14">
            <control shapeId="604277" r:id="rId119" name="Group Box 117">
              <controlPr defaultSize="0" autoFill="0" autoPict="0" altText="">
                <anchor moveWithCells="1">
                  <from>
                    <xdr:col>2</xdr:col>
                    <xdr:colOff>0</xdr:colOff>
                    <xdr:row>19</xdr:row>
                    <xdr:rowOff>0</xdr:rowOff>
                  </from>
                  <to>
                    <xdr:col>11</xdr:col>
                    <xdr:colOff>200025</xdr:colOff>
                    <xdr:row>20</xdr:row>
                    <xdr:rowOff>0</xdr:rowOff>
                  </to>
                </anchor>
              </controlPr>
            </control>
          </mc:Choice>
        </mc:AlternateContent>
        <mc:AlternateContent xmlns:mc="http://schemas.openxmlformats.org/markup-compatibility/2006">
          <mc:Choice Requires="x14">
            <control shapeId="604278" r:id="rId120" name="Option Button 118">
              <controlPr defaultSize="0" autoFill="0" autoLine="0" autoPict="0">
                <anchor moveWithCells="1">
                  <from>
                    <xdr:col>2</xdr:col>
                    <xdr:colOff>371475</xdr:colOff>
                    <xdr:row>20</xdr:row>
                    <xdr:rowOff>38100</xdr:rowOff>
                  </from>
                  <to>
                    <xdr:col>2</xdr:col>
                    <xdr:colOff>609600</xdr:colOff>
                    <xdr:row>20</xdr:row>
                    <xdr:rowOff>314325</xdr:rowOff>
                  </to>
                </anchor>
              </controlPr>
            </control>
          </mc:Choice>
        </mc:AlternateContent>
        <mc:AlternateContent xmlns:mc="http://schemas.openxmlformats.org/markup-compatibility/2006">
          <mc:Choice Requires="x14">
            <control shapeId="604279" r:id="rId121" name="Option Button 119">
              <controlPr defaultSize="0" autoFill="0" autoLine="0" autoPict="0">
                <anchor moveWithCells="1">
                  <from>
                    <xdr:col>3</xdr:col>
                    <xdr:colOff>371475</xdr:colOff>
                    <xdr:row>20</xdr:row>
                    <xdr:rowOff>28575</xdr:rowOff>
                  </from>
                  <to>
                    <xdr:col>3</xdr:col>
                    <xdr:colOff>609600</xdr:colOff>
                    <xdr:row>20</xdr:row>
                    <xdr:rowOff>314325</xdr:rowOff>
                  </to>
                </anchor>
              </controlPr>
            </control>
          </mc:Choice>
        </mc:AlternateContent>
        <mc:AlternateContent xmlns:mc="http://schemas.openxmlformats.org/markup-compatibility/2006">
          <mc:Choice Requires="x14">
            <control shapeId="604280" r:id="rId122" name="Option Button 120">
              <controlPr defaultSize="0" autoFill="0" autoLine="0" autoPict="0">
                <anchor moveWithCells="1">
                  <from>
                    <xdr:col>4</xdr:col>
                    <xdr:colOff>352425</xdr:colOff>
                    <xdr:row>20</xdr:row>
                    <xdr:rowOff>28575</xdr:rowOff>
                  </from>
                  <to>
                    <xdr:col>4</xdr:col>
                    <xdr:colOff>600075</xdr:colOff>
                    <xdr:row>20</xdr:row>
                    <xdr:rowOff>314325</xdr:rowOff>
                  </to>
                </anchor>
              </controlPr>
            </control>
          </mc:Choice>
        </mc:AlternateContent>
        <mc:AlternateContent xmlns:mc="http://schemas.openxmlformats.org/markup-compatibility/2006">
          <mc:Choice Requires="x14">
            <control shapeId="604281" r:id="rId123" name="Option Button 121">
              <controlPr defaultSize="0" autoFill="0" autoLine="0" autoPict="0">
                <anchor moveWithCells="1">
                  <from>
                    <xdr:col>5</xdr:col>
                    <xdr:colOff>371475</xdr:colOff>
                    <xdr:row>20</xdr:row>
                    <xdr:rowOff>38100</xdr:rowOff>
                  </from>
                  <to>
                    <xdr:col>5</xdr:col>
                    <xdr:colOff>600075</xdr:colOff>
                    <xdr:row>20</xdr:row>
                    <xdr:rowOff>314325</xdr:rowOff>
                  </to>
                </anchor>
              </controlPr>
            </control>
          </mc:Choice>
        </mc:AlternateContent>
        <mc:AlternateContent xmlns:mc="http://schemas.openxmlformats.org/markup-compatibility/2006">
          <mc:Choice Requires="x14">
            <control shapeId="604282" r:id="rId124" name="Option Button 122">
              <controlPr defaultSize="0" autoFill="0" autoLine="0" autoPict="0">
                <anchor moveWithCells="1">
                  <from>
                    <xdr:col>6</xdr:col>
                    <xdr:colOff>371475</xdr:colOff>
                    <xdr:row>20</xdr:row>
                    <xdr:rowOff>38100</xdr:rowOff>
                  </from>
                  <to>
                    <xdr:col>6</xdr:col>
                    <xdr:colOff>571500</xdr:colOff>
                    <xdr:row>20</xdr:row>
                    <xdr:rowOff>314325</xdr:rowOff>
                  </to>
                </anchor>
              </controlPr>
            </control>
          </mc:Choice>
        </mc:AlternateContent>
        <mc:AlternateContent xmlns:mc="http://schemas.openxmlformats.org/markup-compatibility/2006">
          <mc:Choice Requires="x14">
            <control shapeId="604283" r:id="rId125" name="Option Button 123">
              <controlPr defaultSize="0" autoFill="0" autoLine="0" autoPict="0">
                <anchor moveWithCells="1">
                  <from>
                    <xdr:col>7</xdr:col>
                    <xdr:colOff>371475</xdr:colOff>
                    <xdr:row>20</xdr:row>
                    <xdr:rowOff>28575</xdr:rowOff>
                  </from>
                  <to>
                    <xdr:col>7</xdr:col>
                    <xdr:colOff>600075</xdr:colOff>
                    <xdr:row>20</xdr:row>
                    <xdr:rowOff>314325</xdr:rowOff>
                  </to>
                </anchor>
              </controlPr>
            </control>
          </mc:Choice>
        </mc:AlternateContent>
        <mc:AlternateContent xmlns:mc="http://schemas.openxmlformats.org/markup-compatibility/2006">
          <mc:Choice Requires="x14">
            <control shapeId="604284" r:id="rId126" name="Group Box 124">
              <controlPr defaultSize="0" autoFill="0" autoPict="0" altText="">
                <anchor moveWithCells="1">
                  <from>
                    <xdr:col>2</xdr:col>
                    <xdr:colOff>0</xdr:colOff>
                    <xdr:row>20</xdr:row>
                    <xdr:rowOff>0</xdr:rowOff>
                  </from>
                  <to>
                    <xdr:col>11</xdr:col>
                    <xdr:colOff>200025</xdr:colOff>
                    <xdr:row>21</xdr:row>
                    <xdr:rowOff>0</xdr:rowOff>
                  </to>
                </anchor>
              </controlPr>
            </control>
          </mc:Choice>
        </mc:AlternateContent>
        <mc:AlternateContent xmlns:mc="http://schemas.openxmlformats.org/markup-compatibility/2006">
          <mc:Choice Requires="x14">
            <control shapeId="604285" r:id="rId127" name="Option Button 125">
              <controlPr defaultSize="0" autoFill="0" autoLine="0" autoPict="0">
                <anchor moveWithCells="1">
                  <from>
                    <xdr:col>2</xdr:col>
                    <xdr:colOff>371475</xdr:colOff>
                    <xdr:row>21</xdr:row>
                    <xdr:rowOff>38100</xdr:rowOff>
                  </from>
                  <to>
                    <xdr:col>2</xdr:col>
                    <xdr:colOff>609600</xdr:colOff>
                    <xdr:row>21</xdr:row>
                    <xdr:rowOff>314325</xdr:rowOff>
                  </to>
                </anchor>
              </controlPr>
            </control>
          </mc:Choice>
        </mc:AlternateContent>
        <mc:AlternateContent xmlns:mc="http://schemas.openxmlformats.org/markup-compatibility/2006">
          <mc:Choice Requires="x14">
            <control shapeId="604286" r:id="rId128" name="Option Button 126">
              <controlPr defaultSize="0" autoFill="0" autoLine="0" autoPict="0">
                <anchor moveWithCells="1">
                  <from>
                    <xdr:col>3</xdr:col>
                    <xdr:colOff>371475</xdr:colOff>
                    <xdr:row>21</xdr:row>
                    <xdr:rowOff>28575</xdr:rowOff>
                  </from>
                  <to>
                    <xdr:col>3</xdr:col>
                    <xdr:colOff>609600</xdr:colOff>
                    <xdr:row>21</xdr:row>
                    <xdr:rowOff>314325</xdr:rowOff>
                  </to>
                </anchor>
              </controlPr>
            </control>
          </mc:Choice>
        </mc:AlternateContent>
        <mc:AlternateContent xmlns:mc="http://schemas.openxmlformats.org/markup-compatibility/2006">
          <mc:Choice Requires="x14">
            <control shapeId="604287" r:id="rId129" name="Option Button 127">
              <controlPr defaultSize="0" autoFill="0" autoLine="0" autoPict="0">
                <anchor moveWithCells="1">
                  <from>
                    <xdr:col>4</xdr:col>
                    <xdr:colOff>352425</xdr:colOff>
                    <xdr:row>21</xdr:row>
                    <xdr:rowOff>28575</xdr:rowOff>
                  </from>
                  <to>
                    <xdr:col>4</xdr:col>
                    <xdr:colOff>600075</xdr:colOff>
                    <xdr:row>21</xdr:row>
                    <xdr:rowOff>314325</xdr:rowOff>
                  </to>
                </anchor>
              </controlPr>
            </control>
          </mc:Choice>
        </mc:AlternateContent>
        <mc:AlternateContent xmlns:mc="http://schemas.openxmlformats.org/markup-compatibility/2006">
          <mc:Choice Requires="x14">
            <control shapeId="604288" r:id="rId130" name="Option Button 128">
              <controlPr defaultSize="0" autoFill="0" autoLine="0" autoPict="0">
                <anchor moveWithCells="1">
                  <from>
                    <xdr:col>5</xdr:col>
                    <xdr:colOff>371475</xdr:colOff>
                    <xdr:row>21</xdr:row>
                    <xdr:rowOff>38100</xdr:rowOff>
                  </from>
                  <to>
                    <xdr:col>5</xdr:col>
                    <xdr:colOff>600075</xdr:colOff>
                    <xdr:row>21</xdr:row>
                    <xdr:rowOff>314325</xdr:rowOff>
                  </to>
                </anchor>
              </controlPr>
            </control>
          </mc:Choice>
        </mc:AlternateContent>
        <mc:AlternateContent xmlns:mc="http://schemas.openxmlformats.org/markup-compatibility/2006">
          <mc:Choice Requires="x14">
            <control shapeId="604289" r:id="rId131" name="Option Button 129">
              <controlPr defaultSize="0" autoFill="0" autoLine="0" autoPict="0">
                <anchor moveWithCells="1">
                  <from>
                    <xdr:col>6</xdr:col>
                    <xdr:colOff>371475</xdr:colOff>
                    <xdr:row>21</xdr:row>
                    <xdr:rowOff>38100</xdr:rowOff>
                  </from>
                  <to>
                    <xdr:col>6</xdr:col>
                    <xdr:colOff>571500</xdr:colOff>
                    <xdr:row>21</xdr:row>
                    <xdr:rowOff>314325</xdr:rowOff>
                  </to>
                </anchor>
              </controlPr>
            </control>
          </mc:Choice>
        </mc:AlternateContent>
        <mc:AlternateContent xmlns:mc="http://schemas.openxmlformats.org/markup-compatibility/2006">
          <mc:Choice Requires="x14">
            <control shapeId="604290" r:id="rId132" name="Option Button 130">
              <controlPr defaultSize="0" autoFill="0" autoLine="0" autoPict="0">
                <anchor moveWithCells="1">
                  <from>
                    <xdr:col>7</xdr:col>
                    <xdr:colOff>371475</xdr:colOff>
                    <xdr:row>21</xdr:row>
                    <xdr:rowOff>28575</xdr:rowOff>
                  </from>
                  <to>
                    <xdr:col>7</xdr:col>
                    <xdr:colOff>600075</xdr:colOff>
                    <xdr:row>21</xdr:row>
                    <xdr:rowOff>314325</xdr:rowOff>
                  </to>
                </anchor>
              </controlPr>
            </control>
          </mc:Choice>
        </mc:AlternateContent>
        <mc:AlternateContent xmlns:mc="http://schemas.openxmlformats.org/markup-compatibility/2006">
          <mc:Choice Requires="x14">
            <control shapeId="604291" r:id="rId133" name="Group Box 131">
              <controlPr defaultSize="0" autoFill="0" autoPict="0" altText="">
                <anchor moveWithCells="1">
                  <from>
                    <xdr:col>2</xdr:col>
                    <xdr:colOff>0</xdr:colOff>
                    <xdr:row>21</xdr:row>
                    <xdr:rowOff>0</xdr:rowOff>
                  </from>
                  <to>
                    <xdr:col>11</xdr:col>
                    <xdr:colOff>200025</xdr:colOff>
                    <xdr:row>22</xdr:row>
                    <xdr:rowOff>0</xdr:rowOff>
                  </to>
                </anchor>
              </controlPr>
            </control>
          </mc:Choice>
        </mc:AlternateContent>
        <mc:AlternateContent xmlns:mc="http://schemas.openxmlformats.org/markup-compatibility/2006">
          <mc:Choice Requires="x14">
            <control shapeId="604292" r:id="rId134" name="Option Button 132">
              <controlPr defaultSize="0" autoFill="0" autoLine="0" autoPict="0">
                <anchor moveWithCells="1">
                  <from>
                    <xdr:col>2</xdr:col>
                    <xdr:colOff>371475</xdr:colOff>
                    <xdr:row>22</xdr:row>
                    <xdr:rowOff>38100</xdr:rowOff>
                  </from>
                  <to>
                    <xdr:col>2</xdr:col>
                    <xdr:colOff>609600</xdr:colOff>
                    <xdr:row>22</xdr:row>
                    <xdr:rowOff>314325</xdr:rowOff>
                  </to>
                </anchor>
              </controlPr>
            </control>
          </mc:Choice>
        </mc:AlternateContent>
        <mc:AlternateContent xmlns:mc="http://schemas.openxmlformats.org/markup-compatibility/2006">
          <mc:Choice Requires="x14">
            <control shapeId="604293" r:id="rId135" name="Option Button 133">
              <controlPr defaultSize="0" autoFill="0" autoLine="0" autoPict="0">
                <anchor moveWithCells="1">
                  <from>
                    <xdr:col>3</xdr:col>
                    <xdr:colOff>371475</xdr:colOff>
                    <xdr:row>22</xdr:row>
                    <xdr:rowOff>28575</xdr:rowOff>
                  </from>
                  <to>
                    <xdr:col>3</xdr:col>
                    <xdr:colOff>609600</xdr:colOff>
                    <xdr:row>22</xdr:row>
                    <xdr:rowOff>314325</xdr:rowOff>
                  </to>
                </anchor>
              </controlPr>
            </control>
          </mc:Choice>
        </mc:AlternateContent>
        <mc:AlternateContent xmlns:mc="http://schemas.openxmlformats.org/markup-compatibility/2006">
          <mc:Choice Requires="x14">
            <control shapeId="604294" r:id="rId136" name="Option Button 134">
              <controlPr defaultSize="0" autoFill="0" autoLine="0" autoPict="0">
                <anchor moveWithCells="1">
                  <from>
                    <xdr:col>4</xdr:col>
                    <xdr:colOff>352425</xdr:colOff>
                    <xdr:row>22</xdr:row>
                    <xdr:rowOff>28575</xdr:rowOff>
                  </from>
                  <to>
                    <xdr:col>4</xdr:col>
                    <xdr:colOff>600075</xdr:colOff>
                    <xdr:row>22</xdr:row>
                    <xdr:rowOff>314325</xdr:rowOff>
                  </to>
                </anchor>
              </controlPr>
            </control>
          </mc:Choice>
        </mc:AlternateContent>
        <mc:AlternateContent xmlns:mc="http://schemas.openxmlformats.org/markup-compatibility/2006">
          <mc:Choice Requires="x14">
            <control shapeId="604295" r:id="rId137" name="Option Button 135">
              <controlPr defaultSize="0" autoFill="0" autoLine="0" autoPict="0">
                <anchor moveWithCells="1">
                  <from>
                    <xdr:col>5</xdr:col>
                    <xdr:colOff>371475</xdr:colOff>
                    <xdr:row>22</xdr:row>
                    <xdr:rowOff>38100</xdr:rowOff>
                  </from>
                  <to>
                    <xdr:col>5</xdr:col>
                    <xdr:colOff>600075</xdr:colOff>
                    <xdr:row>22</xdr:row>
                    <xdr:rowOff>314325</xdr:rowOff>
                  </to>
                </anchor>
              </controlPr>
            </control>
          </mc:Choice>
        </mc:AlternateContent>
        <mc:AlternateContent xmlns:mc="http://schemas.openxmlformats.org/markup-compatibility/2006">
          <mc:Choice Requires="x14">
            <control shapeId="604296" r:id="rId138" name="Option Button 136">
              <controlPr defaultSize="0" autoFill="0" autoLine="0" autoPict="0">
                <anchor moveWithCells="1">
                  <from>
                    <xdr:col>6</xdr:col>
                    <xdr:colOff>371475</xdr:colOff>
                    <xdr:row>22</xdr:row>
                    <xdr:rowOff>38100</xdr:rowOff>
                  </from>
                  <to>
                    <xdr:col>6</xdr:col>
                    <xdr:colOff>571500</xdr:colOff>
                    <xdr:row>22</xdr:row>
                    <xdr:rowOff>314325</xdr:rowOff>
                  </to>
                </anchor>
              </controlPr>
            </control>
          </mc:Choice>
        </mc:AlternateContent>
        <mc:AlternateContent xmlns:mc="http://schemas.openxmlformats.org/markup-compatibility/2006">
          <mc:Choice Requires="x14">
            <control shapeId="604297" r:id="rId139" name="Option Button 137">
              <controlPr defaultSize="0" autoFill="0" autoLine="0" autoPict="0">
                <anchor moveWithCells="1">
                  <from>
                    <xdr:col>7</xdr:col>
                    <xdr:colOff>371475</xdr:colOff>
                    <xdr:row>22</xdr:row>
                    <xdr:rowOff>28575</xdr:rowOff>
                  </from>
                  <to>
                    <xdr:col>7</xdr:col>
                    <xdr:colOff>600075</xdr:colOff>
                    <xdr:row>22</xdr:row>
                    <xdr:rowOff>314325</xdr:rowOff>
                  </to>
                </anchor>
              </controlPr>
            </control>
          </mc:Choice>
        </mc:AlternateContent>
        <mc:AlternateContent xmlns:mc="http://schemas.openxmlformats.org/markup-compatibility/2006">
          <mc:Choice Requires="x14">
            <control shapeId="604298" r:id="rId140" name="Group Box 138">
              <controlPr defaultSize="0" autoFill="0" autoPict="0" altText="">
                <anchor moveWithCells="1">
                  <from>
                    <xdr:col>2</xdr:col>
                    <xdr:colOff>0</xdr:colOff>
                    <xdr:row>22</xdr:row>
                    <xdr:rowOff>0</xdr:rowOff>
                  </from>
                  <to>
                    <xdr:col>11</xdr:col>
                    <xdr:colOff>200025</xdr:colOff>
                    <xdr:row>23</xdr:row>
                    <xdr:rowOff>0</xdr:rowOff>
                  </to>
                </anchor>
              </controlPr>
            </control>
          </mc:Choice>
        </mc:AlternateContent>
        <mc:AlternateContent xmlns:mc="http://schemas.openxmlformats.org/markup-compatibility/2006">
          <mc:Choice Requires="x14">
            <control shapeId="604299" r:id="rId141" name="Option Button 139">
              <controlPr defaultSize="0" autoFill="0" autoLine="0" autoPict="0">
                <anchor moveWithCells="1">
                  <from>
                    <xdr:col>2</xdr:col>
                    <xdr:colOff>371475</xdr:colOff>
                    <xdr:row>23</xdr:row>
                    <xdr:rowOff>38100</xdr:rowOff>
                  </from>
                  <to>
                    <xdr:col>2</xdr:col>
                    <xdr:colOff>609600</xdr:colOff>
                    <xdr:row>23</xdr:row>
                    <xdr:rowOff>314325</xdr:rowOff>
                  </to>
                </anchor>
              </controlPr>
            </control>
          </mc:Choice>
        </mc:AlternateContent>
        <mc:AlternateContent xmlns:mc="http://schemas.openxmlformats.org/markup-compatibility/2006">
          <mc:Choice Requires="x14">
            <control shapeId="604300" r:id="rId142" name="Option Button 140">
              <controlPr defaultSize="0" autoFill="0" autoLine="0" autoPict="0">
                <anchor moveWithCells="1">
                  <from>
                    <xdr:col>3</xdr:col>
                    <xdr:colOff>371475</xdr:colOff>
                    <xdr:row>23</xdr:row>
                    <xdr:rowOff>28575</xdr:rowOff>
                  </from>
                  <to>
                    <xdr:col>3</xdr:col>
                    <xdr:colOff>609600</xdr:colOff>
                    <xdr:row>23</xdr:row>
                    <xdr:rowOff>314325</xdr:rowOff>
                  </to>
                </anchor>
              </controlPr>
            </control>
          </mc:Choice>
        </mc:AlternateContent>
        <mc:AlternateContent xmlns:mc="http://schemas.openxmlformats.org/markup-compatibility/2006">
          <mc:Choice Requires="x14">
            <control shapeId="604301" r:id="rId143" name="Option Button 141">
              <controlPr defaultSize="0" autoFill="0" autoLine="0" autoPict="0">
                <anchor moveWithCells="1">
                  <from>
                    <xdr:col>4</xdr:col>
                    <xdr:colOff>352425</xdr:colOff>
                    <xdr:row>23</xdr:row>
                    <xdr:rowOff>28575</xdr:rowOff>
                  </from>
                  <to>
                    <xdr:col>4</xdr:col>
                    <xdr:colOff>600075</xdr:colOff>
                    <xdr:row>23</xdr:row>
                    <xdr:rowOff>314325</xdr:rowOff>
                  </to>
                </anchor>
              </controlPr>
            </control>
          </mc:Choice>
        </mc:AlternateContent>
        <mc:AlternateContent xmlns:mc="http://schemas.openxmlformats.org/markup-compatibility/2006">
          <mc:Choice Requires="x14">
            <control shapeId="604302" r:id="rId144" name="Option Button 142">
              <controlPr defaultSize="0" autoFill="0" autoLine="0" autoPict="0">
                <anchor moveWithCells="1">
                  <from>
                    <xdr:col>5</xdr:col>
                    <xdr:colOff>371475</xdr:colOff>
                    <xdr:row>23</xdr:row>
                    <xdr:rowOff>38100</xdr:rowOff>
                  </from>
                  <to>
                    <xdr:col>5</xdr:col>
                    <xdr:colOff>600075</xdr:colOff>
                    <xdr:row>23</xdr:row>
                    <xdr:rowOff>314325</xdr:rowOff>
                  </to>
                </anchor>
              </controlPr>
            </control>
          </mc:Choice>
        </mc:AlternateContent>
        <mc:AlternateContent xmlns:mc="http://schemas.openxmlformats.org/markup-compatibility/2006">
          <mc:Choice Requires="x14">
            <control shapeId="604303" r:id="rId145" name="Option Button 143">
              <controlPr defaultSize="0" autoFill="0" autoLine="0" autoPict="0">
                <anchor moveWithCells="1">
                  <from>
                    <xdr:col>6</xdr:col>
                    <xdr:colOff>371475</xdr:colOff>
                    <xdr:row>23</xdr:row>
                    <xdr:rowOff>38100</xdr:rowOff>
                  </from>
                  <to>
                    <xdr:col>6</xdr:col>
                    <xdr:colOff>571500</xdr:colOff>
                    <xdr:row>23</xdr:row>
                    <xdr:rowOff>314325</xdr:rowOff>
                  </to>
                </anchor>
              </controlPr>
            </control>
          </mc:Choice>
        </mc:AlternateContent>
        <mc:AlternateContent xmlns:mc="http://schemas.openxmlformats.org/markup-compatibility/2006">
          <mc:Choice Requires="x14">
            <control shapeId="604304" r:id="rId146" name="Option Button 144">
              <controlPr defaultSize="0" autoFill="0" autoLine="0" autoPict="0">
                <anchor moveWithCells="1">
                  <from>
                    <xdr:col>7</xdr:col>
                    <xdr:colOff>371475</xdr:colOff>
                    <xdr:row>23</xdr:row>
                    <xdr:rowOff>28575</xdr:rowOff>
                  </from>
                  <to>
                    <xdr:col>7</xdr:col>
                    <xdr:colOff>600075</xdr:colOff>
                    <xdr:row>23</xdr:row>
                    <xdr:rowOff>314325</xdr:rowOff>
                  </to>
                </anchor>
              </controlPr>
            </control>
          </mc:Choice>
        </mc:AlternateContent>
        <mc:AlternateContent xmlns:mc="http://schemas.openxmlformats.org/markup-compatibility/2006">
          <mc:Choice Requires="x14">
            <control shapeId="604305" r:id="rId147" name="Group Box 145">
              <controlPr defaultSize="0" autoFill="0" autoPict="0" altText="">
                <anchor moveWithCells="1">
                  <from>
                    <xdr:col>2</xdr:col>
                    <xdr:colOff>0</xdr:colOff>
                    <xdr:row>23</xdr:row>
                    <xdr:rowOff>0</xdr:rowOff>
                  </from>
                  <to>
                    <xdr:col>11</xdr:col>
                    <xdr:colOff>200025</xdr:colOff>
                    <xdr:row>24</xdr:row>
                    <xdr:rowOff>0</xdr:rowOff>
                  </to>
                </anchor>
              </controlPr>
            </control>
          </mc:Choice>
        </mc:AlternateContent>
        <mc:AlternateContent xmlns:mc="http://schemas.openxmlformats.org/markup-compatibility/2006">
          <mc:Choice Requires="x14">
            <control shapeId="604306" r:id="rId148" name="Option Button 146">
              <controlPr defaultSize="0" autoFill="0" autoLine="0" autoPict="0">
                <anchor moveWithCells="1">
                  <from>
                    <xdr:col>2</xdr:col>
                    <xdr:colOff>371475</xdr:colOff>
                    <xdr:row>24</xdr:row>
                    <xdr:rowOff>28575</xdr:rowOff>
                  </from>
                  <to>
                    <xdr:col>2</xdr:col>
                    <xdr:colOff>609600</xdr:colOff>
                    <xdr:row>24</xdr:row>
                    <xdr:rowOff>333375</xdr:rowOff>
                  </to>
                </anchor>
              </controlPr>
            </control>
          </mc:Choice>
        </mc:AlternateContent>
        <mc:AlternateContent xmlns:mc="http://schemas.openxmlformats.org/markup-compatibility/2006">
          <mc:Choice Requires="x14">
            <control shapeId="604307" r:id="rId149" name="Option Button 147">
              <controlPr defaultSize="0" autoFill="0" autoLine="0" autoPict="0">
                <anchor moveWithCells="1">
                  <from>
                    <xdr:col>3</xdr:col>
                    <xdr:colOff>371475</xdr:colOff>
                    <xdr:row>24</xdr:row>
                    <xdr:rowOff>28575</xdr:rowOff>
                  </from>
                  <to>
                    <xdr:col>3</xdr:col>
                    <xdr:colOff>609600</xdr:colOff>
                    <xdr:row>24</xdr:row>
                    <xdr:rowOff>333375</xdr:rowOff>
                  </to>
                </anchor>
              </controlPr>
            </control>
          </mc:Choice>
        </mc:AlternateContent>
        <mc:AlternateContent xmlns:mc="http://schemas.openxmlformats.org/markup-compatibility/2006">
          <mc:Choice Requires="x14">
            <control shapeId="604308" r:id="rId150" name="Option Button 148">
              <controlPr defaultSize="0" autoFill="0" autoLine="0" autoPict="0">
                <anchor moveWithCells="1">
                  <from>
                    <xdr:col>4</xdr:col>
                    <xdr:colOff>352425</xdr:colOff>
                    <xdr:row>24</xdr:row>
                    <xdr:rowOff>28575</xdr:rowOff>
                  </from>
                  <to>
                    <xdr:col>4</xdr:col>
                    <xdr:colOff>600075</xdr:colOff>
                    <xdr:row>24</xdr:row>
                    <xdr:rowOff>333375</xdr:rowOff>
                  </to>
                </anchor>
              </controlPr>
            </control>
          </mc:Choice>
        </mc:AlternateContent>
        <mc:AlternateContent xmlns:mc="http://schemas.openxmlformats.org/markup-compatibility/2006">
          <mc:Choice Requires="x14">
            <control shapeId="604309" r:id="rId151" name="Option Button 149">
              <controlPr defaultSize="0" autoFill="0" autoLine="0" autoPict="0">
                <anchor moveWithCells="1">
                  <from>
                    <xdr:col>5</xdr:col>
                    <xdr:colOff>371475</xdr:colOff>
                    <xdr:row>24</xdr:row>
                    <xdr:rowOff>28575</xdr:rowOff>
                  </from>
                  <to>
                    <xdr:col>5</xdr:col>
                    <xdr:colOff>600075</xdr:colOff>
                    <xdr:row>24</xdr:row>
                    <xdr:rowOff>333375</xdr:rowOff>
                  </to>
                </anchor>
              </controlPr>
            </control>
          </mc:Choice>
        </mc:AlternateContent>
        <mc:AlternateContent xmlns:mc="http://schemas.openxmlformats.org/markup-compatibility/2006">
          <mc:Choice Requires="x14">
            <control shapeId="604310" r:id="rId152" name="Option Button 150">
              <controlPr defaultSize="0" autoFill="0" autoLine="0" autoPict="0">
                <anchor moveWithCells="1">
                  <from>
                    <xdr:col>6</xdr:col>
                    <xdr:colOff>371475</xdr:colOff>
                    <xdr:row>24</xdr:row>
                    <xdr:rowOff>28575</xdr:rowOff>
                  </from>
                  <to>
                    <xdr:col>6</xdr:col>
                    <xdr:colOff>571500</xdr:colOff>
                    <xdr:row>24</xdr:row>
                    <xdr:rowOff>333375</xdr:rowOff>
                  </to>
                </anchor>
              </controlPr>
            </control>
          </mc:Choice>
        </mc:AlternateContent>
        <mc:AlternateContent xmlns:mc="http://schemas.openxmlformats.org/markup-compatibility/2006">
          <mc:Choice Requires="x14">
            <control shapeId="604311" r:id="rId153" name="Option Button 151">
              <controlPr defaultSize="0" autoFill="0" autoLine="0" autoPict="0">
                <anchor moveWithCells="1">
                  <from>
                    <xdr:col>7</xdr:col>
                    <xdr:colOff>371475</xdr:colOff>
                    <xdr:row>24</xdr:row>
                    <xdr:rowOff>28575</xdr:rowOff>
                  </from>
                  <to>
                    <xdr:col>7</xdr:col>
                    <xdr:colOff>600075</xdr:colOff>
                    <xdr:row>24</xdr:row>
                    <xdr:rowOff>333375</xdr:rowOff>
                  </to>
                </anchor>
              </controlPr>
            </control>
          </mc:Choice>
        </mc:AlternateContent>
        <mc:AlternateContent xmlns:mc="http://schemas.openxmlformats.org/markup-compatibility/2006">
          <mc:Choice Requires="x14">
            <control shapeId="604312" r:id="rId154" name="Group Box 152">
              <controlPr defaultSize="0" autoFill="0" autoPict="0" altText="">
                <anchor moveWithCells="1">
                  <from>
                    <xdr:col>2</xdr:col>
                    <xdr:colOff>0</xdr:colOff>
                    <xdr:row>24</xdr:row>
                    <xdr:rowOff>0</xdr:rowOff>
                  </from>
                  <to>
                    <xdr:col>11</xdr:col>
                    <xdr:colOff>200025</xdr:colOff>
                    <xdr:row>25</xdr:row>
                    <xdr:rowOff>0</xdr:rowOff>
                  </to>
                </anchor>
              </controlPr>
            </control>
          </mc:Choice>
        </mc:AlternateContent>
        <mc:AlternateContent xmlns:mc="http://schemas.openxmlformats.org/markup-compatibility/2006">
          <mc:Choice Requires="x14">
            <control shapeId="604313" r:id="rId155" name="Drop Down 153">
              <controlPr locked="0" defaultSize="0" autoLine="0" autoPict="0">
                <anchor moveWithCells="1">
                  <from>
                    <xdr:col>8</xdr:col>
                    <xdr:colOff>9525</xdr:colOff>
                    <xdr:row>3</xdr:row>
                    <xdr:rowOff>0</xdr:rowOff>
                  </from>
                  <to>
                    <xdr:col>11</xdr:col>
                    <xdr:colOff>219075</xdr:colOff>
                    <xdr:row>4</xdr:row>
                    <xdr:rowOff>9525</xdr:rowOff>
                  </to>
                </anchor>
              </controlPr>
            </control>
          </mc:Choice>
        </mc:AlternateContent>
        <mc:AlternateContent xmlns:mc="http://schemas.openxmlformats.org/markup-compatibility/2006">
          <mc:Choice Requires="x14">
            <control shapeId="604315" r:id="rId156" name="Drop Down 155">
              <controlPr locked="0" defaultSize="0" autoLine="0" autoPict="0">
                <anchor moveWithCells="1">
                  <from>
                    <xdr:col>8</xdr:col>
                    <xdr:colOff>9525</xdr:colOff>
                    <xdr:row>4</xdr:row>
                    <xdr:rowOff>0</xdr:rowOff>
                  </from>
                  <to>
                    <xdr:col>11</xdr:col>
                    <xdr:colOff>219075</xdr:colOff>
                    <xdr:row>5</xdr:row>
                    <xdr:rowOff>0</xdr:rowOff>
                  </to>
                </anchor>
              </controlPr>
            </control>
          </mc:Choice>
        </mc:AlternateContent>
        <mc:AlternateContent xmlns:mc="http://schemas.openxmlformats.org/markup-compatibility/2006">
          <mc:Choice Requires="x14">
            <control shapeId="604316" r:id="rId157" name="Drop Down 156">
              <controlPr locked="0" defaultSize="0" autoLine="0" autoPict="0">
                <anchor moveWithCells="1">
                  <from>
                    <xdr:col>8</xdr:col>
                    <xdr:colOff>9525</xdr:colOff>
                    <xdr:row>5</xdr:row>
                    <xdr:rowOff>0</xdr:rowOff>
                  </from>
                  <to>
                    <xdr:col>11</xdr:col>
                    <xdr:colOff>219075</xdr:colOff>
                    <xdr:row>6</xdr:row>
                    <xdr:rowOff>0</xdr:rowOff>
                  </to>
                </anchor>
              </controlPr>
            </control>
          </mc:Choice>
        </mc:AlternateContent>
        <mc:AlternateContent xmlns:mc="http://schemas.openxmlformats.org/markup-compatibility/2006">
          <mc:Choice Requires="x14">
            <control shapeId="604318" r:id="rId158" name="Drop Down 158">
              <controlPr locked="0" defaultSize="0" autoLine="0" autoPict="0">
                <anchor moveWithCells="1">
                  <from>
                    <xdr:col>8</xdr:col>
                    <xdr:colOff>9525</xdr:colOff>
                    <xdr:row>6</xdr:row>
                    <xdr:rowOff>0</xdr:rowOff>
                  </from>
                  <to>
                    <xdr:col>11</xdr:col>
                    <xdr:colOff>219075</xdr:colOff>
                    <xdr:row>7</xdr:row>
                    <xdr:rowOff>0</xdr:rowOff>
                  </to>
                </anchor>
              </controlPr>
            </control>
          </mc:Choice>
        </mc:AlternateContent>
        <mc:AlternateContent xmlns:mc="http://schemas.openxmlformats.org/markup-compatibility/2006">
          <mc:Choice Requires="x14">
            <control shapeId="604319" r:id="rId159" name="Drop Down 159">
              <controlPr locked="0" defaultSize="0" autoLine="0" autoPict="0">
                <anchor moveWithCells="1">
                  <from>
                    <xdr:col>8</xdr:col>
                    <xdr:colOff>9525</xdr:colOff>
                    <xdr:row>7</xdr:row>
                    <xdr:rowOff>0</xdr:rowOff>
                  </from>
                  <to>
                    <xdr:col>11</xdr:col>
                    <xdr:colOff>219075</xdr:colOff>
                    <xdr:row>8</xdr:row>
                    <xdr:rowOff>0</xdr:rowOff>
                  </to>
                </anchor>
              </controlPr>
            </control>
          </mc:Choice>
        </mc:AlternateContent>
        <mc:AlternateContent xmlns:mc="http://schemas.openxmlformats.org/markup-compatibility/2006">
          <mc:Choice Requires="x14">
            <control shapeId="604320" r:id="rId160" name="Drop Down 160">
              <controlPr locked="0" defaultSize="0" autoLine="0" autoPict="0">
                <anchor moveWithCells="1">
                  <from>
                    <xdr:col>8</xdr:col>
                    <xdr:colOff>9525</xdr:colOff>
                    <xdr:row>8</xdr:row>
                    <xdr:rowOff>0</xdr:rowOff>
                  </from>
                  <to>
                    <xdr:col>11</xdr:col>
                    <xdr:colOff>219075</xdr:colOff>
                    <xdr:row>9</xdr:row>
                    <xdr:rowOff>0</xdr:rowOff>
                  </to>
                </anchor>
              </controlPr>
            </control>
          </mc:Choice>
        </mc:AlternateContent>
        <mc:AlternateContent xmlns:mc="http://schemas.openxmlformats.org/markup-compatibility/2006">
          <mc:Choice Requires="x14">
            <control shapeId="604321" r:id="rId161" name="Drop Down 161">
              <controlPr locked="0" defaultSize="0" autoLine="0" autoPict="0">
                <anchor moveWithCells="1">
                  <from>
                    <xdr:col>8</xdr:col>
                    <xdr:colOff>9525</xdr:colOff>
                    <xdr:row>9</xdr:row>
                    <xdr:rowOff>0</xdr:rowOff>
                  </from>
                  <to>
                    <xdr:col>11</xdr:col>
                    <xdr:colOff>219075</xdr:colOff>
                    <xdr:row>10</xdr:row>
                    <xdr:rowOff>0</xdr:rowOff>
                  </to>
                </anchor>
              </controlPr>
            </control>
          </mc:Choice>
        </mc:AlternateContent>
        <mc:AlternateContent xmlns:mc="http://schemas.openxmlformats.org/markup-compatibility/2006">
          <mc:Choice Requires="x14">
            <control shapeId="604322" r:id="rId162" name="Drop Down 162">
              <controlPr locked="0" defaultSize="0" autoLine="0" autoPict="0">
                <anchor moveWithCells="1">
                  <from>
                    <xdr:col>8</xdr:col>
                    <xdr:colOff>9525</xdr:colOff>
                    <xdr:row>10</xdr:row>
                    <xdr:rowOff>0</xdr:rowOff>
                  </from>
                  <to>
                    <xdr:col>11</xdr:col>
                    <xdr:colOff>219075</xdr:colOff>
                    <xdr:row>11</xdr:row>
                    <xdr:rowOff>0</xdr:rowOff>
                  </to>
                </anchor>
              </controlPr>
            </control>
          </mc:Choice>
        </mc:AlternateContent>
        <mc:AlternateContent xmlns:mc="http://schemas.openxmlformats.org/markup-compatibility/2006">
          <mc:Choice Requires="x14">
            <control shapeId="604323" r:id="rId163" name="Drop Down 163">
              <controlPr locked="0" defaultSize="0" autoLine="0" autoPict="0">
                <anchor moveWithCells="1">
                  <from>
                    <xdr:col>8</xdr:col>
                    <xdr:colOff>9525</xdr:colOff>
                    <xdr:row>11</xdr:row>
                    <xdr:rowOff>0</xdr:rowOff>
                  </from>
                  <to>
                    <xdr:col>11</xdr:col>
                    <xdr:colOff>219075</xdr:colOff>
                    <xdr:row>12</xdr:row>
                    <xdr:rowOff>0</xdr:rowOff>
                  </to>
                </anchor>
              </controlPr>
            </control>
          </mc:Choice>
        </mc:AlternateContent>
        <mc:AlternateContent xmlns:mc="http://schemas.openxmlformats.org/markup-compatibility/2006">
          <mc:Choice Requires="x14">
            <control shapeId="604325" r:id="rId164" name="Drop Down 165">
              <controlPr locked="0" defaultSize="0" autoLine="0" autoPict="0">
                <anchor moveWithCells="1">
                  <from>
                    <xdr:col>8</xdr:col>
                    <xdr:colOff>9525</xdr:colOff>
                    <xdr:row>12</xdr:row>
                    <xdr:rowOff>0</xdr:rowOff>
                  </from>
                  <to>
                    <xdr:col>11</xdr:col>
                    <xdr:colOff>219075</xdr:colOff>
                    <xdr:row>13</xdr:row>
                    <xdr:rowOff>0</xdr:rowOff>
                  </to>
                </anchor>
              </controlPr>
            </control>
          </mc:Choice>
        </mc:AlternateContent>
        <mc:AlternateContent xmlns:mc="http://schemas.openxmlformats.org/markup-compatibility/2006">
          <mc:Choice Requires="x14">
            <control shapeId="604326" r:id="rId165" name="Drop Down 166">
              <controlPr locked="0" defaultSize="0" autoLine="0" autoPict="0">
                <anchor moveWithCells="1">
                  <from>
                    <xdr:col>8</xdr:col>
                    <xdr:colOff>9525</xdr:colOff>
                    <xdr:row>13</xdr:row>
                    <xdr:rowOff>0</xdr:rowOff>
                  </from>
                  <to>
                    <xdr:col>11</xdr:col>
                    <xdr:colOff>219075</xdr:colOff>
                    <xdr:row>14</xdr:row>
                    <xdr:rowOff>0</xdr:rowOff>
                  </to>
                </anchor>
              </controlPr>
            </control>
          </mc:Choice>
        </mc:AlternateContent>
        <mc:AlternateContent xmlns:mc="http://schemas.openxmlformats.org/markup-compatibility/2006">
          <mc:Choice Requires="x14">
            <control shapeId="604327" r:id="rId166" name="Drop Down 167">
              <controlPr locked="0" defaultSize="0" autoLine="0" autoPict="0">
                <anchor moveWithCells="1">
                  <from>
                    <xdr:col>8</xdr:col>
                    <xdr:colOff>9525</xdr:colOff>
                    <xdr:row>14</xdr:row>
                    <xdr:rowOff>0</xdr:rowOff>
                  </from>
                  <to>
                    <xdr:col>11</xdr:col>
                    <xdr:colOff>219075</xdr:colOff>
                    <xdr:row>15</xdr:row>
                    <xdr:rowOff>0</xdr:rowOff>
                  </to>
                </anchor>
              </controlPr>
            </control>
          </mc:Choice>
        </mc:AlternateContent>
        <mc:AlternateContent xmlns:mc="http://schemas.openxmlformats.org/markup-compatibility/2006">
          <mc:Choice Requires="x14">
            <control shapeId="604329" r:id="rId167" name="Drop Down 169">
              <controlPr locked="0" defaultSize="0" autoLine="0" autoPict="0">
                <anchor moveWithCells="1">
                  <from>
                    <xdr:col>8</xdr:col>
                    <xdr:colOff>9525</xdr:colOff>
                    <xdr:row>15</xdr:row>
                    <xdr:rowOff>0</xdr:rowOff>
                  </from>
                  <to>
                    <xdr:col>11</xdr:col>
                    <xdr:colOff>219075</xdr:colOff>
                    <xdr:row>16</xdr:row>
                    <xdr:rowOff>0</xdr:rowOff>
                  </to>
                </anchor>
              </controlPr>
            </control>
          </mc:Choice>
        </mc:AlternateContent>
        <mc:AlternateContent xmlns:mc="http://schemas.openxmlformats.org/markup-compatibility/2006">
          <mc:Choice Requires="x14">
            <control shapeId="604330" r:id="rId168" name="Drop Down 170">
              <controlPr locked="0" defaultSize="0" autoLine="0" autoPict="0">
                <anchor moveWithCells="1">
                  <from>
                    <xdr:col>8</xdr:col>
                    <xdr:colOff>9525</xdr:colOff>
                    <xdr:row>16</xdr:row>
                    <xdr:rowOff>0</xdr:rowOff>
                  </from>
                  <to>
                    <xdr:col>11</xdr:col>
                    <xdr:colOff>219075</xdr:colOff>
                    <xdr:row>17</xdr:row>
                    <xdr:rowOff>0</xdr:rowOff>
                  </to>
                </anchor>
              </controlPr>
            </control>
          </mc:Choice>
        </mc:AlternateContent>
        <mc:AlternateContent xmlns:mc="http://schemas.openxmlformats.org/markup-compatibility/2006">
          <mc:Choice Requires="x14">
            <control shapeId="604332" r:id="rId169" name="Drop Down 172">
              <controlPr locked="0" defaultSize="0" autoLine="0" autoPict="0">
                <anchor moveWithCells="1">
                  <from>
                    <xdr:col>8</xdr:col>
                    <xdr:colOff>9525</xdr:colOff>
                    <xdr:row>17</xdr:row>
                    <xdr:rowOff>0</xdr:rowOff>
                  </from>
                  <to>
                    <xdr:col>11</xdr:col>
                    <xdr:colOff>219075</xdr:colOff>
                    <xdr:row>18</xdr:row>
                    <xdr:rowOff>0</xdr:rowOff>
                  </to>
                </anchor>
              </controlPr>
            </control>
          </mc:Choice>
        </mc:AlternateContent>
        <mc:AlternateContent xmlns:mc="http://schemas.openxmlformats.org/markup-compatibility/2006">
          <mc:Choice Requires="x14">
            <control shapeId="604333" r:id="rId170" name="Drop Down 173">
              <controlPr locked="0" defaultSize="0" autoLine="0" autoPict="0">
                <anchor moveWithCells="1">
                  <from>
                    <xdr:col>8</xdr:col>
                    <xdr:colOff>9525</xdr:colOff>
                    <xdr:row>18</xdr:row>
                    <xdr:rowOff>0</xdr:rowOff>
                  </from>
                  <to>
                    <xdr:col>11</xdr:col>
                    <xdr:colOff>219075</xdr:colOff>
                    <xdr:row>19</xdr:row>
                    <xdr:rowOff>0</xdr:rowOff>
                  </to>
                </anchor>
              </controlPr>
            </control>
          </mc:Choice>
        </mc:AlternateContent>
        <mc:AlternateContent xmlns:mc="http://schemas.openxmlformats.org/markup-compatibility/2006">
          <mc:Choice Requires="x14">
            <control shapeId="604334" r:id="rId171" name="Drop Down 174">
              <controlPr locked="0" defaultSize="0" autoLine="0" autoPict="0">
                <anchor moveWithCells="1">
                  <from>
                    <xdr:col>8</xdr:col>
                    <xdr:colOff>9525</xdr:colOff>
                    <xdr:row>19</xdr:row>
                    <xdr:rowOff>0</xdr:rowOff>
                  </from>
                  <to>
                    <xdr:col>11</xdr:col>
                    <xdr:colOff>219075</xdr:colOff>
                    <xdr:row>20</xdr:row>
                    <xdr:rowOff>0</xdr:rowOff>
                  </to>
                </anchor>
              </controlPr>
            </control>
          </mc:Choice>
        </mc:AlternateContent>
        <mc:AlternateContent xmlns:mc="http://schemas.openxmlformats.org/markup-compatibility/2006">
          <mc:Choice Requires="x14">
            <control shapeId="604336" r:id="rId172" name="Drop Down 176">
              <controlPr locked="0" defaultSize="0" autoLine="0" autoPict="0">
                <anchor moveWithCells="1">
                  <from>
                    <xdr:col>8</xdr:col>
                    <xdr:colOff>9525</xdr:colOff>
                    <xdr:row>20</xdr:row>
                    <xdr:rowOff>0</xdr:rowOff>
                  </from>
                  <to>
                    <xdr:col>11</xdr:col>
                    <xdr:colOff>219075</xdr:colOff>
                    <xdr:row>21</xdr:row>
                    <xdr:rowOff>0</xdr:rowOff>
                  </to>
                </anchor>
              </controlPr>
            </control>
          </mc:Choice>
        </mc:AlternateContent>
        <mc:AlternateContent xmlns:mc="http://schemas.openxmlformats.org/markup-compatibility/2006">
          <mc:Choice Requires="x14">
            <control shapeId="604337" r:id="rId173" name="Drop Down 177">
              <controlPr locked="0" defaultSize="0" autoLine="0" autoPict="0">
                <anchor moveWithCells="1">
                  <from>
                    <xdr:col>8</xdr:col>
                    <xdr:colOff>9525</xdr:colOff>
                    <xdr:row>21</xdr:row>
                    <xdr:rowOff>0</xdr:rowOff>
                  </from>
                  <to>
                    <xdr:col>11</xdr:col>
                    <xdr:colOff>219075</xdr:colOff>
                    <xdr:row>22</xdr:row>
                    <xdr:rowOff>0</xdr:rowOff>
                  </to>
                </anchor>
              </controlPr>
            </control>
          </mc:Choice>
        </mc:AlternateContent>
        <mc:AlternateContent xmlns:mc="http://schemas.openxmlformats.org/markup-compatibility/2006">
          <mc:Choice Requires="x14">
            <control shapeId="604339" r:id="rId174" name="Drop Down 179">
              <controlPr locked="0" defaultSize="0" autoLine="0" autoPict="0">
                <anchor moveWithCells="1">
                  <from>
                    <xdr:col>8</xdr:col>
                    <xdr:colOff>9525</xdr:colOff>
                    <xdr:row>22</xdr:row>
                    <xdr:rowOff>0</xdr:rowOff>
                  </from>
                  <to>
                    <xdr:col>11</xdr:col>
                    <xdr:colOff>219075</xdr:colOff>
                    <xdr:row>23</xdr:row>
                    <xdr:rowOff>0</xdr:rowOff>
                  </to>
                </anchor>
              </controlPr>
            </control>
          </mc:Choice>
        </mc:AlternateContent>
        <mc:AlternateContent xmlns:mc="http://schemas.openxmlformats.org/markup-compatibility/2006">
          <mc:Choice Requires="x14">
            <control shapeId="604340" r:id="rId175" name="Drop Down 180">
              <controlPr locked="0" defaultSize="0" autoLine="0" autoPict="0">
                <anchor moveWithCells="1">
                  <from>
                    <xdr:col>8</xdr:col>
                    <xdr:colOff>9525</xdr:colOff>
                    <xdr:row>23</xdr:row>
                    <xdr:rowOff>0</xdr:rowOff>
                  </from>
                  <to>
                    <xdr:col>11</xdr:col>
                    <xdr:colOff>219075</xdr:colOff>
                    <xdr:row>24</xdr:row>
                    <xdr:rowOff>0</xdr:rowOff>
                  </to>
                </anchor>
              </controlPr>
            </control>
          </mc:Choice>
        </mc:AlternateContent>
        <mc:AlternateContent xmlns:mc="http://schemas.openxmlformats.org/markup-compatibility/2006">
          <mc:Choice Requires="x14">
            <control shapeId="604341" r:id="rId176" name="Drop Down 181">
              <controlPr locked="0" defaultSize="0" autoLine="0" autoPict="0">
                <anchor moveWithCells="1">
                  <from>
                    <xdr:col>8</xdr:col>
                    <xdr:colOff>9525</xdr:colOff>
                    <xdr:row>24</xdr:row>
                    <xdr:rowOff>0</xdr:rowOff>
                  </from>
                  <to>
                    <xdr:col>11</xdr:col>
                    <xdr:colOff>219075</xdr:colOff>
                    <xdr:row>24</xdr:row>
                    <xdr:rowOff>333375</xdr:rowOff>
                  </to>
                </anchor>
              </controlPr>
            </control>
          </mc:Choice>
        </mc:AlternateContent>
        <mc:AlternateContent xmlns:mc="http://schemas.openxmlformats.org/markup-compatibility/2006">
          <mc:Choice Requires="x14">
            <control shapeId="604342" r:id="rId177" name="Button 182">
              <controlPr defaultSize="0" print="0" autoFill="0" autoPict="0" macro="[0]!Accueil">
                <anchor moveWithCells="1" sizeWithCells="1">
                  <from>
                    <xdr:col>8</xdr:col>
                    <xdr:colOff>752475</xdr:colOff>
                    <xdr:row>0</xdr:row>
                    <xdr:rowOff>104775</xdr:rowOff>
                  </from>
                  <to>
                    <xdr:col>12</xdr:col>
                    <xdr:colOff>733425</xdr:colOff>
                    <xdr:row>0</xdr:row>
                    <xdr:rowOff>523875</xdr:rowOff>
                  </to>
                </anchor>
              </controlPr>
            </control>
          </mc:Choice>
        </mc:AlternateContent>
        <mc:AlternateContent xmlns:mc="http://schemas.openxmlformats.org/markup-compatibility/2006">
          <mc:Choice Requires="x14">
            <control shapeId="604343" r:id="rId178" name="Group Box 183">
              <controlPr defaultSize="0" autoFill="0" autoPict="0" altText="">
                <anchor moveWithCells="1">
                  <from>
                    <xdr:col>2</xdr:col>
                    <xdr:colOff>0</xdr:colOff>
                    <xdr:row>7</xdr:row>
                    <xdr:rowOff>0</xdr:rowOff>
                  </from>
                  <to>
                    <xdr:col>11</xdr:col>
                    <xdr:colOff>200025</xdr:colOff>
                    <xdr:row>8</xdr:row>
                    <xdr:rowOff>0</xdr:rowOff>
                  </to>
                </anchor>
              </controlPr>
            </control>
          </mc:Choice>
        </mc:AlternateContent>
        <mc:AlternateContent xmlns:mc="http://schemas.openxmlformats.org/markup-compatibility/2006">
          <mc:Choice Requires="x14">
            <control shapeId="604344" r:id="rId179" name="Group Box 184">
              <controlPr defaultSize="0" autoFill="0" autoPict="0" altText="">
                <anchor moveWithCells="1">
                  <from>
                    <xdr:col>2</xdr:col>
                    <xdr:colOff>0</xdr:colOff>
                    <xdr:row>6</xdr:row>
                    <xdr:rowOff>0</xdr:rowOff>
                  </from>
                  <to>
                    <xdr:col>11</xdr:col>
                    <xdr:colOff>200025</xdr:colOff>
                    <xdr:row>7</xdr:row>
                    <xdr:rowOff>0</xdr:rowOff>
                  </to>
                </anchor>
              </controlPr>
            </control>
          </mc:Choice>
        </mc:AlternateContent>
        <mc:AlternateContent xmlns:mc="http://schemas.openxmlformats.org/markup-compatibility/2006">
          <mc:Choice Requires="x14">
            <control shapeId="604345" r:id="rId180" name="Button 185">
              <controlPr defaultSize="0" print="0" autoFill="0" autoPict="0" macro="[0]!ArchivageIDC1">
                <anchor moveWithCells="1">
                  <from>
                    <xdr:col>4</xdr:col>
                    <xdr:colOff>1019175</xdr:colOff>
                    <xdr:row>0</xdr:row>
                    <xdr:rowOff>104775</xdr:rowOff>
                  </from>
                  <to>
                    <xdr:col>8</xdr:col>
                    <xdr:colOff>476250</xdr:colOff>
                    <xdr:row>0</xdr:row>
                    <xdr:rowOff>523875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3"/>
  <dimension ref="A1:E144"/>
  <sheetViews>
    <sheetView showGridLines="0" showRowColHeaders="0" zoomScale="138" zoomScaleNormal="138" zoomScalePageLayoutView="140" workbookViewId="0">
      <pane ySplit="2" topLeftCell="A3" activePane="bottomLeft" state="frozen"/>
      <selection pane="bottomLeft" activeCell="A3" sqref="A3:B3"/>
    </sheetView>
  </sheetViews>
  <sheetFormatPr baseColWidth="10" defaultColWidth="11.28515625" defaultRowHeight="12.75"/>
  <cols>
    <col min="1" max="1" width="4" style="120" customWidth="1"/>
    <col min="2" max="2" width="87.28515625" style="120" customWidth="1"/>
    <col min="3" max="3" width="38" style="120" customWidth="1"/>
    <col min="4" max="4" width="7.85546875" style="120" customWidth="1"/>
    <col min="5" max="5" width="22.85546875" style="120" customWidth="1"/>
    <col min="6" max="16384" width="11.28515625" style="120"/>
  </cols>
  <sheetData>
    <row r="1" spans="1:5" s="125" customFormat="1" ht="21" customHeight="1">
      <c r="A1" s="484" t="s">
        <v>578</v>
      </c>
      <c r="B1" s="484"/>
    </row>
    <row r="2" spans="1:5" s="125" customFormat="1" ht="21" customHeight="1">
      <c r="A2" s="484"/>
      <c r="B2" s="484"/>
    </row>
    <row r="3" spans="1:5" s="150" customFormat="1" ht="23.25" customHeight="1">
      <c r="A3" s="483" t="s">
        <v>351</v>
      </c>
      <c r="B3" s="483"/>
      <c r="C3" s="488" t="s">
        <v>648</v>
      </c>
      <c r="D3" s="489"/>
    </row>
    <row r="4" spans="1:5" s="125" customFormat="1" ht="15.75" customHeight="1">
      <c r="B4" s="485" t="s">
        <v>740</v>
      </c>
      <c r="C4" s="486" t="s">
        <v>649</v>
      </c>
      <c r="D4" s="487"/>
    </row>
    <row r="5" spans="1:5" s="125" customFormat="1" ht="19.5" customHeight="1">
      <c r="A5" s="151"/>
      <c r="B5" s="485"/>
      <c r="C5" s="285" t="str">
        <f>IF(ISBLANK(Accueil!$B$8),"",'Courbe In'!$B$10)</f>
        <v/>
      </c>
      <c r="D5" s="286" t="s">
        <v>580</v>
      </c>
    </row>
    <row r="6" spans="1:5" s="125" customFormat="1" ht="24.75" customHeight="1">
      <c r="A6" s="151"/>
      <c r="B6" s="485"/>
      <c r="C6" s="486" t="s">
        <v>581</v>
      </c>
      <c r="D6" s="487"/>
    </row>
    <row r="7" spans="1:5" s="125" customFormat="1" ht="24" customHeight="1">
      <c r="A7" s="132"/>
      <c r="B7" s="132"/>
      <c r="C7" s="287" t="str">
        <f>IF(ISBLANK(Accueil!$B$8),"",'Courbe In'!$B$11)</f>
        <v/>
      </c>
      <c r="D7" s="288" t="s">
        <v>580</v>
      </c>
    </row>
    <row r="8" spans="1:5" s="142" customFormat="1" ht="33.75" customHeight="1" thickBot="1">
      <c r="B8" s="141" t="s">
        <v>319</v>
      </c>
      <c r="C8" s="143"/>
      <c r="D8" s="143"/>
      <c r="E8" s="143"/>
    </row>
    <row r="9" spans="1:5" ht="37.5" customHeight="1" thickBot="1">
      <c r="A9" s="121">
        <v>1</v>
      </c>
      <c r="B9" s="122" t="s">
        <v>617</v>
      </c>
    </row>
    <row r="10" spans="1:5" ht="37.5" customHeight="1" thickBot="1">
      <c r="A10" s="121">
        <v>2</v>
      </c>
      <c r="B10" s="122" t="s">
        <v>582</v>
      </c>
    </row>
    <row r="11" spans="1:5" ht="37.5" customHeight="1" thickBot="1">
      <c r="A11" s="121">
        <v>3</v>
      </c>
      <c r="B11" s="122" t="s">
        <v>616</v>
      </c>
    </row>
    <row r="12" spans="1:5" ht="37.5" customHeight="1" thickBot="1">
      <c r="A12" s="121">
        <v>4</v>
      </c>
      <c r="B12" s="122" t="s">
        <v>583</v>
      </c>
    </row>
    <row r="13" spans="1:5" ht="37.5" customHeight="1" thickBot="1">
      <c r="A13" s="121">
        <v>5</v>
      </c>
      <c r="B13" s="122" t="s">
        <v>584</v>
      </c>
    </row>
    <row r="14" spans="1:5" ht="37.5" customHeight="1" thickBot="1">
      <c r="A14" s="121">
        <v>6</v>
      </c>
      <c r="B14" s="122" t="s">
        <v>585</v>
      </c>
    </row>
    <row r="15" spans="1:5" ht="37.5" customHeight="1" thickBot="1">
      <c r="A15" s="121">
        <v>7</v>
      </c>
      <c r="B15" s="122" t="s">
        <v>70</v>
      </c>
    </row>
    <row r="16" spans="1:5" ht="37.5" customHeight="1" thickBot="1">
      <c r="A16" s="121">
        <v>8</v>
      </c>
      <c r="B16" s="122" t="s">
        <v>83</v>
      </c>
    </row>
    <row r="17" spans="1:2" ht="37.5" customHeight="1" thickBot="1">
      <c r="A17" s="123">
        <v>9</v>
      </c>
      <c r="B17" s="122" t="s">
        <v>318</v>
      </c>
    </row>
    <row r="18" spans="1:2" s="142" customFormat="1" ht="33.75" customHeight="1" thickBot="1">
      <c r="B18" s="140" t="s">
        <v>320</v>
      </c>
    </row>
    <row r="19" spans="1:2" ht="37.5" customHeight="1" thickBot="1">
      <c r="A19" s="123">
        <v>10</v>
      </c>
      <c r="B19" s="122" t="s">
        <v>595</v>
      </c>
    </row>
    <row r="20" spans="1:2" ht="37.5" customHeight="1" thickBot="1">
      <c r="A20" s="121">
        <v>11</v>
      </c>
      <c r="B20" s="122" t="s">
        <v>586</v>
      </c>
    </row>
    <row r="21" spans="1:2" ht="37.5" customHeight="1" thickBot="1">
      <c r="A21" s="121">
        <v>12</v>
      </c>
      <c r="B21" s="122" t="s">
        <v>587</v>
      </c>
    </row>
    <row r="22" spans="1:2" ht="37.5" customHeight="1" thickBot="1">
      <c r="A22" s="121">
        <v>13</v>
      </c>
      <c r="B22" s="122" t="s">
        <v>612</v>
      </c>
    </row>
    <row r="23" spans="1:2" ht="37.5" customHeight="1" thickBot="1">
      <c r="A23" s="121">
        <v>14</v>
      </c>
      <c r="B23" s="122" t="s">
        <v>627</v>
      </c>
    </row>
    <row r="24" spans="1:2" ht="37.5" customHeight="1" thickBot="1">
      <c r="A24" s="121">
        <v>15</v>
      </c>
      <c r="B24" s="122" t="s">
        <v>588</v>
      </c>
    </row>
    <row r="25" spans="1:2" ht="37.5" customHeight="1" thickBot="1">
      <c r="A25" s="121">
        <v>16</v>
      </c>
      <c r="B25" s="122" t="s">
        <v>589</v>
      </c>
    </row>
    <row r="26" spans="1:2" ht="37.5" customHeight="1" thickBot="1">
      <c r="A26" s="121">
        <v>17</v>
      </c>
      <c r="B26" s="122" t="s">
        <v>593</v>
      </c>
    </row>
    <row r="27" spans="1:2" ht="37.5" customHeight="1" thickBot="1">
      <c r="A27" s="121">
        <v>18</v>
      </c>
      <c r="B27" s="122" t="s">
        <v>594</v>
      </c>
    </row>
    <row r="28" spans="1:2" ht="37.5" customHeight="1" thickBot="1">
      <c r="A28" s="121">
        <v>19</v>
      </c>
      <c r="B28" s="122" t="s">
        <v>75</v>
      </c>
    </row>
    <row r="29" spans="1:2" ht="37.5" customHeight="1" thickBot="1">
      <c r="A29" s="121">
        <v>20</v>
      </c>
      <c r="B29" s="124" t="s">
        <v>596</v>
      </c>
    </row>
    <row r="30" spans="1:2" ht="37.5" customHeight="1" thickBot="1">
      <c r="A30" s="121">
        <v>21</v>
      </c>
      <c r="B30" s="122" t="s">
        <v>597</v>
      </c>
    </row>
    <row r="31" spans="1:2" ht="37.5" customHeight="1" thickBot="1">
      <c r="A31" s="121">
        <v>22</v>
      </c>
      <c r="B31" s="122" t="s">
        <v>598</v>
      </c>
    </row>
    <row r="32" spans="1:2" ht="37.5" customHeight="1" thickBot="1">
      <c r="A32" s="121">
        <v>23</v>
      </c>
      <c r="B32" s="122" t="s">
        <v>613</v>
      </c>
    </row>
    <row r="33" spans="1:3" ht="37.5" customHeight="1" thickBot="1">
      <c r="A33" s="121">
        <v>24</v>
      </c>
      <c r="B33" s="122" t="s">
        <v>614</v>
      </c>
    </row>
    <row r="34" spans="1:3" ht="37.5" customHeight="1" thickBot="1">
      <c r="A34" s="121">
        <v>25</v>
      </c>
      <c r="B34" s="122" t="s">
        <v>615</v>
      </c>
    </row>
    <row r="35" spans="1:3" ht="37.5" customHeight="1" thickBot="1">
      <c r="A35" s="121">
        <v>26</v>
      </c>
      <c r="B35" s="122" t="s">
        <v>591</v>
      </c>
    </row>
    <row r="36" spans="1:3" s="128" customFormat="1" ht="26.25" customHeight="1">
      <c r="B36" s="134" t="str">
        <f>IF(recueil!P42&lt;26,"Merci de bien vouloir compléter le questionnaire avant de continuer","Merci. Vous pouvez maintenant passer à la suite.")</f>
        <v>Merci de bien vouloir compléter le questionnaire avant de continuer</v>
      </c>
      <c r="C36" s="129"/>
    </row>
    <row r="37" spans="1:3" s="158" customFormat="1" ht="33.75" customHeight="1"/>
    <row r="38" spans="1:3" s="125" customFormat="1"/>
    <row r="39" spans="1:3" s="125" customFormat="1" ht="24.75" customHeight="1"/>
    <row r="40" spans="1:3" s="125" customFormat="1" ht="22.5" customHeight="1"/>
    <row r="41" spans="1:3" s="125" customFormat="1" ht="22.5" customHeight="1"/>
    <row r="42" spans="1:3" s="125" customFormat="1" ht="22.5" customHeight="1"/>
    <row r="43" spans="1:3" s="153" customFormat="1" ht="26.25" customHeight="1"/>
    <row r="44" spans="1:3" s="125" customFormat="1" ht="30" customHeight="1"/>
    <row r="45" spans="1:3" s="125" customFormat="1" ht="30" customHeight="1"/>
    <row r="46" spans="1:3" s="125" customFormat="1" ht="30" customHeight="1"/>
    <row r="47" spans="1:3" s="125" customFormat="1" ht="30" customHeight="1"/>
    <row r="48" spans="1:3" s="125" customFormat="1" ht="30" customHeight="1"/>
    <row r="49" s="125" customFormat="1" ht="30" customHeight="1"/>
    <row r="50" s="153" customFormat="1" ht="26.25" customHeight="1"/>
    <row r="51" s="125" customFormat="1" ht="30" customHeight="1"/>
    <row r="52" s="125" customFormat="1" ht="30" customHeight="1"/>
    <row r="53" s="125" customFormat="1" ht="30" customHeight="1"/>
    <row r="54" s="125" customFormat="1" ht="30" customHeight="1"/>
    <row r="55" s="125" customFormat="1" ht="30" customHeight="1"/>
    <row r="56" s="125" customFormat="1" ht="30" customHeight="1"/>
    <row r="57" s="153" customFormat="1" ht="26.25" customHeight="1"/>
    <row r="58" s="125" customFormat="1" ht="30" customHeight="1"/>
    <row r="59" s="125" customFormat="1" ht="30" customHeight="1"/>
    <row r="60" s="125" customFormat="1" ht="30" customHeight="1"/>
    <row r="61" s="125" customFormat="1" ht="30" customHeight="1"/>
    <row r="62" s="125" customFormat="1" ht="30" customHeight="1"/>
    <row r="63" s="125" customFormat="1" ht="30" customHeight="1"/>
    <row r="64" s="153" customFormat="1" ht="26.25" customHeight="1"/>
    <row r="65" s="125" customFormat="1" ht="30" customHeight="1"/>
    <row r="66" s="125" customFormat="1" ht="30" customHeight="1"/>
    <row r="67" s="125" customFormat="1" ht="30" customHeight="1"/>
    <row r="68" s="125" customFormat="1" ht="30" customHeight="1"/>
    <row r="69" s="125" customFormat="1" ht="30" customHeight="1"/>
    <row r="70" s="125" customFormat="1" ht="30" customHeight="1"/>
    <row r="71" s="153" customFormat="1" ht="26.25" customHeight="1"/>
    <row r="72" s="125" customFormat="1" ht="30" customHeight="1"/>
    <row r="73" s="125" customFormat="1" ht="30" customHeight="1"/>
    <row r="74" s="125" customFormat="1" ht="30" customHeight="1"/>
    <row r="75" s="125" customFormat="1" ht="30" customHeight="1"/>
    <row r="76" s="125" customFormat="1" ht="30" customHeight="1"/>
    <row r="77" s="125" customFormat="1" ht="30" customHeight="1"/>
    <row r="78" s="153" customFormat="1" ht="26.25" customHeight="1"/>
    <row r="79" s="125" customFormat="1" ht="30" customHeight="1"/>
    <row r="80" s="125" customFormat="1" ht="30" customHeight="1"/>
    <row r="81" s="125" customFormat="1" ht="30" customHeight="1"/>
    <row r="82" s="125" customFormat="1" ht="30" customHeight="1"/>
    <row r="83" s="125" customFormat="1" ht="30" customHeight="1"/>
    <row r="84" s="125" customFormat="1" ht="30" customHeight="1"/>
    <row r="85" s="153" customFormat="1" ht="26.25" customHeight="1"/>
    <row r="86" s="125" customFormat="1" ht="30" customHeight="1"/>
    <row r="87" s="125" customFormat="1" ht="30" customHeight="1"/>
    <row r="88" s="125" customFormat="1" ht="30" customHeight="1"/>
    <row r="89" s="125" customFormat="1" ht="30" customHeight="1"/>
    <row r="90" s="125" customFormat="1" ht="30" customHeight="1"/>
    <row r="91" s="125" customFormat="1" ht="30" customHeight="1"/>
    <row r="92" s="153" customFormat="1" ht="26.25" customHeight="1"/>
    <row r="93" s="125" customFormat="1" ht="30" customHeight="1"/>
    <row r="94" s="125" customFormat="1" ht="30" customHeight="1"/>
    <row r="95" s="125" customFormat="1" ht="30" customHeight="1"/>
    <row r="96" s="125" customFormat="1" ht="30" customHeight="1"/>
    <row r="97" s="125" customFormat="1" ht="30" customHeight="1"/>
    <row r="98" s="125" customFormat="1" ht="30" customHeight="1"/>
    <row r="99" s="153" customFormat="1" ht="26.25" customHeight="1"/>
    <row r="100" s="125" customFormat="1" ht="30" customHeight="1"/>
    <row r="101" s="125" customFormat="1" ht="30" customHeight="1"/>
    <row r="102" s="125" customFormat="1" ht="30" customHeight="1"/>
    <row r="103" s="125" customFormat="1" ht="30" customHeight="1"/>
    <row r="104" s="125" customFormat="1" ht="30" customHeight="1"/>
    <row r="105" s="125" customFormat="1" ht="30" customHeight="1"/>
    <row r="106" s="153" customFormat="1" ht="26.25" customHeight="1"/>
    <row r="107" s="125" customFormat="1" ht="30" customHeight="1"/>
    <row r="108" s="125" customFormat="1" ht="30" customHeight="1"/>
    <row r="109" s="125" customFormat="1" ht="30" customHeight="1"/>
    <row r="110" s="125" customFormat="1" ht="30" customHeight="1"/>
    <row r="111" s="125" customFormat="1" ht="30" customHeight="1"/>
    <row r="112" s="125" customFormat="1" ht="30" customHeight="1"/>
    <row r="113" s="153" customFormat="1" ht="26.25" customHeight="1"/>
    <row r="114" s="125" customFormat="1" ht="30" customHeight="1"/>
    <row r="115" s="125" customFormat="1" ht="30" customHeight="1"/>
    <row r="116" s="125" customFormat="1" ht="30" customHeight="1"/>
    <row r="117" s="125" customFormat="1" ht="30" customHeight="1"/>
    <row r="118" s="125" customFormat="1" ht="30" customHeight="1"/>
    <row r="119" s="125" customFormat="1" ht="30" customHeight="1"/>
    <row r="120" s="153" customFormat="1" ht="26.25" customHeight="1"/>
    <row r="121" s="125" customFormat="1" ht="30" customHeight="1"/>
    <row r="122" s="125" customFormat="1" ht="30" customHeight="1"/>
    <row r="123" s="125" customFormat="1" ht="30" customHeight="1"/>
    <row r="124" s="125" customFormat="1" ht="30" customHeight="1"/>
    <row r="125" s="125" customFormat="1" ht="30" customHeight="1"/>
    <row r="126" s="125" customFormat="1" ht="30" customHeight="1"/>
    <row r="127" s="153" customFormat="1" ht="26.25" customHeight="1"/>
    <row r="128" s="125" customFormat="1" ht="30" customHeight="1"/>
    <row r="129" s="125" customFormat="1" ht="30" customHeight="1"/>
    <row r="130" s="125" customFormat="1" ht="30" customHeight="1"/>
    <row r="131" s="125" customFormat="1" ht="30" customHeight="1"/>
    <row r="132" s="125" customFormat="1" ht="30" customHeight="1"/>
    <row r="133" s="125" customFormat="1" ht="30" customHeight="1"/>
    <row r="134" s="153" customFormat="1" ht="26.25" customHeight="1"/>
    <row r="135" s="125" customFormat="1" ht="30" customHeight="1"/>
    <row r="136" s="125" customFormat="1" ht="30" customHeight="1"/>
    <row r="137" s="125" customFormat="1" ht="30" customHeight="1"/>
    <row r="138" s="125" customFormat="1" ht="30" customHeight="1"/>
    <row r="139" s="125" customFormat="1" ht="30" customHeight="1"/>
    <row r="140" s="125" customFormat="1" ht="30" customHeight="1"/>
    <row r="141" s="125" customFormat="1"/>
    <row r="142" s="157" customFormat="1" ht="27" customHeight="1"/>
    <row r="143" s="125" customFormat="1"/>
    <row r="144" s="125" customFormat="1"/>
  </sheetData>
  <sheetProtection sheet="1" objects="1" scenarios="1" selectLockedCells="1" selectUnlockedCells="1"/>
  <mergeCells count="6">
    <mergeCell ref="A3:B3"/>
    <mergeCell ref="A1:B2"/>
    <mergeCell ref="B4:B6"/>
    <mergeCell ref="C4:D4"/>
    <mergeCell ref="C6:D6"/>
    <mergeCell ref="C3:D3"/>
  </mergeCells>
  <phoneticPr fontId="36"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28388" r:id="rId3" name="Drop Down 4">
              <controlPr defaultSize="0" autoLine="0" autoPict="0" macro="[0]!Scroll">
                <anchor moveWithCells="1">
                  <from>
                    <xdr:col>2</xdr:col>
                    <xdr:colOff>333375</xdr:colOff>
                    <xdr:row>11</xdr:row>
                    <xdr:rowOff>123825</xdr:rowOff>
                  </from>
                  <to>
                    <xdr:col>4</xdr:col>
                    <xdr:colOff>914400</xdr:colOff>
                    <xdr:row>11</xdr:row>
                    <xdr:rowOff>390525</xdr:rowOff>
                  </to>
                </anchor>
              </controlPr>
            </control>
          </mc:Choice>
        </mc:AlternateContent>
        <mc:AlternateContent xmlns:mc="http://schemas.openxmlformats.org/markup-compatibility/2006">
          <mc:Choice Requires="x14">
            <control shapeId="528389" r:id="rId4" name="Drop Down 5">
              <controlPr defaultSize="0" autoLine="0" autoPict="0" macro="[0]!Scroll">
                <anchor moveWithCells="1">
                  <from>
                    <xdr:col>2</xdr:col>
                    <xdr:colOff>333375</xdr:colOff>
                    <xdr:row>12</xdr:row>
                    <xdr:rowOff>123825</xdr:rowOff>
                  </from>
                  <to>
                    <xdr:col>4</xdr:col>
                    <xdr:colOff>914400</xdr:colOff>
                    <xdr:row>12</xdr:row>
                    <xdr:rowOff>390525</xdr:rowOff>
                  </to>
                </anchor>
              </controlPr>
            </control>
          </mc:Choice>
        </mc:AlternateContent>
        <mc:AlternateContent xmlns:mc="http://schemas.openxmlformats.org/markup-compatibility/2006">
          <mc:Choice Requires="x14">
            <control shapeId="528390" r:id="rId5" name="Drop Down 6">
              <controlPr defaultSize="0" autoLine="0" autoPict="0" macro="[0]!Scroll">
                <anchor moveWithCells="1">
                  <from>
                    <xdr:col>2</xdr:col>
                    <xdr:colOff>333375</xdr:colOff>
                    <xdr:row>13</xdr:row>
                    <xdr:rowOff>123825</xdr:rowOff>
                  </from>
                  <to>
                    <xdr:col>4</xdr:col>
                    <xdr:colOff>914400</xdr:colOff>
                    <xdr:row>13</xdr:row>
                    <xdr:rowOff>390525</xdr:rowOff>
                  </to>
                </anchor>
              </controlPr>
            </control>
          </mc:Choice>
        </mc:AlternateContent>
        <mc:AlternateContent xmlns:mc="http://schemas.openxmlformats.org/markup-compatibility/2006">
          <mc:Choice Requires="x14">
            <control shapeId="528391" r:id="rId6" name="Drop Down 7">
              <controlPr defaultSize="0" autoLine="0" autoPict="0" macro="[0]!Scroll">
                <anchor moveWithCells="1">
                  <from>
                    <xdr:col>2</xdr:col>
                    <xdr:colOff>333375</xdr:colOff>
                    <xdr:row>14</xdr:row>
                    <xdr:rowOff>123825</xdr:rowOff>
                  </from>
                  <to>
                    <xdr:col>4</xdr:col>
                    <xdr:colOff>914400</xdr:colOff>
                    <xdr:row>14</xdr:row>
                    <xdr:rowOff>390525</xdr:rowOff>
                  </to>
                </anchor>
              </controlPr>
            </control>
          </mc:Choice>
        </mc:AlternateContent>
        <mc:AlternateContent xmlns:mc="http://schemas.openxmlformats.org/markup-compatibility/2006">
          <mc:Choice Requires="x14">
            <control shapeId="528392" r:id="rId7" name="Drop Down 8">
              <controlPr defaultSize="0" autoLine="0" autoPict="0" macro="[0]!Scroll">
                <anchor moveWithCells="1">
                  <from>
                    <xdr:col>2</xdr:col>
                    <xdr:colOff>333375</xdr:colOff>
                    <xdr:row>15</xdr:row>
                    <xdr:rowOff>123825</xdr:rowOff>
                  </from>
                  <to>
                    <xdr:col>4</xdr:col>
                    <xdr:colOff>914400</xdr:colOff>
                    <xdr:row>15</xdr:row>
                    <xdr:rowOff>390525</xdr:rowOff>
                  </to>
                </anchor>
              </controlPr>
            </control>
          </mc:Choice>
        </mc:AlternateContent>
        <mc:AlternateContent xmlns:mc="http://schemas.openxmlformats.org/markup-compatibility/2006">
          <mc:Choice Requires="x14">
            <control shapeId="528393" r:id="rId8" name="Drop Down 9">
              <controlPr defaultSize="0" autoLine="0" autoPict="0" macro="[0]!Scroll2">
                <anchor moveWithCells="1">
                  <from>
                    <xdr:col>2</xdr:col>
                    <xdr:colOff>333375</xdr:colOff>
                    <xdr:row>16</xdr:row>
                    <xdr:rowOff>123825</xdr:rowOff>
                  </from>
                  <to>
                    <xdr:col>4</xdr:col>
                    <xdr:colOff>914400</xdr:colOff>
                    <xdr:row>16</xdr:row>
                    <xdr:rowOff>390525</xdr:rowOff>
                  </to>
                </anchor>
              </controlPr>
            </control>
          </mc:Choice>
        </mc:AlternateContent>
        <mc:AlternateContent xmlns:mc="http://schemas.openxmlformats.org/markup-compatibility/2006">
          <mc:Choice Requires="x14">
            <control shapeId="528394" r:id="rId9" name="Drop Down 10">
              <controlPr defaultSize="0" autoLine="0" autoPict="0" macro="[0]!Scroll">
                <anchor moveWithCells="1">
                  <from>
                    <xdr:col>2</xdr:col>
                    <xdr:colOff>333375</xdr:colOff>
                    <xdr:row>18</xdr:row>
                    <xdr:rowOff>123825</xdr:rowOff>
                  </from>
                  <to>
                    <xdr:col>4</xdr:col>
                    <xdr:colOff>914400</xdr:colOff>
                    <xdr:row>18</xdr:row>
                    <xdr:rowOff>390525</xdr:rowOff>
                  </to>
                </anchor>
              </controlPr>
            </control>
          </mc:Choice>
        </mc:AlternateContent>
        <mc:AlternateContent xmlns:mc="http://schemas.openxmlformats.org/markup-compatibility/2006">
          <mc:Choice Requires="x14">
            <control shapeId="528395" r:id="rId10" name="Drop Down 11">
              <controlPr defaultSize="0" autoLine="0" autoPict="0" macro="[0]!Scroll">
                <anchor moveWithCells="1">
                  <from>
                    <xdr:col>2</xdr:col>
                    <xdr:colOff>333375</xdr:colOff>
                    <xdr:row>19</xdr:row>
                    <xdr:rowOff>123825</xdr:rowOff>
                  </from>
                  <to>
                    <xdr:col>4</xdr:col>
                    <xdr:colOff>914400</xdr:colOff>
                    <xdr:row>19</xdr:row>
                    <xdr:rowOff>390525</xdr:rowOff>
                  </to>
                </anchor>
              </controlPr>
            </control>
          </mc:Choice>
        </mc:AlternateContent>
        <mc:AlternateContent xmlns:mc="http://schemas.openxmlformats.org/markup-compatibility/2006">
          <mc:Choice Requires="x14">
            <control shapeId="528396" r:id="rId11" name="Drop Down 12">
              <controlPr defaultSize="0" autoLine="0" autoPict="0" macro="[0]!Scroll">
                <anchor moveWithCells="1">
                  <from>
                    <xdr:col>2</xdr:col>
                    <xdr:colOff>333375</xdr:colOff>
                    <xdr:row>20</xdr:row>
                    <xdr:rowOff>123825</xdr:rowOff>
                  </from>
                  <to>
                    <xdr:col>4</xdr:col>
                    <xdr:colOff>914400</xdr:colOff>
                    <xdr:row>20</xdr:row>
                    <xdr:rowOff>390525</xdr:rowOff>
                  </to>
                </anchor>
              </controlPr>
            </control>
          </mc:Choice>
        </mc:AlternateContent>
        <mc:AlternateContent xmlns:mc="http://schemas.openxmlformats.org/markup-compatibility/2006">
          <mc:Choice Requires="x14">
            <control shapeId="528397" r:id="rId12" name="Drop Down 13">
              <controlPr defaultSize="0" autoLine="0" autoPict="0" macro="[0]!Scroll">
                <anchor moveWithCells="1">
                  <from>
                    <xdr:col>2</xdr:col>
                    <xdr:colOff>333375</xdr:colOff>
                    <xdr:row>21</xdr:row>
                    <xdr:rowOff>123825</xdr:rowOff>
                  </from>
                  <to>
                    <xdr:col>4</xdr:col>
                    <xdr:colOff>914400</xdr:colOff>
                    <xdr:row>21</xdr:row>
                    <xdr:rowOff>390525</xdr:rowOff>
                  </to>
                </anchor>
              </controlPr>
            </control>
          </mc:Choice>
        </mc:AlternateContent>
        <mc:AlternateContent xmlns:mc="http://schemas.openxmlformats.org/markup-compatibility/2006">
          <mc:Choice Requires="x14">
            <control shapeId="528398" r:id="rId13" name="Drop Down 14">
              <controlPr defaultSize="0" autoLine="0" autoPict="0" macro="[0]!Scroll">
                <anchor moveWithCells="1">
                  <from>
                    <xdr:col>2</xdr:col>
                    <xdr:colOff>333375</xdr:colOff>
                    <xdr:row>22</xdr:row>
                    <xdr:rowOff>123825</xdr:rowOff>
                  </from>
                  <to>
                    <xdr:col>4</xdr:col>
                    <xdr:colOff>914400</xdr:colOff>
                    <xdr:row>22</xdr:row>
                    <xdr:rowOff>390525</xdr:rowOff>
                  </to>
                </anchor>
              </controlPr>
            </control>
          </mc:Choice>
        </mc:AlternateContent>
        <mc:AlternateContent xmlns:mc="http://schemas.openxmlformats.org/markup-compatibility/2006">
          <mc:Choice Requires="x14">
            <control shapeId="528399" r:id="rId14" name="Drop Down 15">
              <controlPr defaultSize="0" autoLine="0" autoPict="0" macro="[0]!Scroll">
                <anchor moveWithCells="1">
                  <from>
                    <xdr:col>2</xdr:col>
                    <xdr:colOff>333375</xdr:colOff>
                    <xdr:row>23</xdr:row>
                    <xdr:rowOff>123825</xdr:rowOff>
                  </from>
                  <to>
                    <xdr:col>4</xdr:col>
                    <xdr:colOff>914400</xdr:colOff>
                    <xdr:row>23</xdr:row>
                    <xdr:rowOff>390525</xdr:rowOff>
                  </to>
                </anchor>
              </controlPr>
            </control>
          </mc:Choice>
        </mc:AlternateContent>
        <mc:AlternateContent xmlns:mc="http://schemas.openxmlformats.org/markup-compatibility/2006">
          <mc:Choice Requires="x14">
            <control shapeId="528400" r:id="rId15" name="Drop Down 16">
              <controlPr defaultSize="0" autoLine="0" autoPict="0" macro="[0]!Scroll">
                <anchor moveWithCells="1">
                  <from>
                    <xdr:col>2</xdr:col>
                    <xdr:colOff>333375</xdr:colOff>
                    <xdr:row>24</xdr:row>
                    <xdr:rowOff>123825</xdr:rowOff>
                  </from>
                  <to>
                    <xdr:col>4</xdr:col>
                    <xdr:colOff>914400</xdr:colOff>
                    <xdr:row>24</xdr:row>
                    <xdr:rowOff>390525</xdr:rowOff>
                  </to>
                </anchor>
              </controlPr>
            </control>
          </mc:Choice>
        </mc:AlternateContent>
        <mc:AlternateContent xmlns:mc="http://schemas.openxmlformats.org/markup-compatibility/2006">
          <mc:Choice Requires="x14">
            <control shapeId="528401" r:id="rId16" name="Drop Down 17">
              <controlPr defaultSize="0" autoLine="0" autoPict="0" macro="[0]!Scroll">
                <anchor moveWithCells="1">
                  <from>
                    <xdr:col>2</xdr:col>
                    <xdr:colOff>333375</xdr:colOff>
                    <xdr:row>25</xdr:row>
                    <xdr:rowOff>123825</xdr:rowOff>
                  </from>
                  <to>
                    <xdr:col>4</xdr:col>
                    <xdr:colOff>914400</xdr:colOff>
                    <xdr:row>25</xdr:row>
                    <xdr:rowOff>390525</xdr:rowOff>
                  </to>
                </anchor>
              </controlPr>
            </control>
          </mc:Choice>
        </mc:AlternateContent>
        <mc:AlternateContent xmlns:mc="http://schemas.openxmlformats.org/markup-compatibility/2006">
          <mc:Choice Requires="x14">
            <control shapeId="528402" r:id="rId17" name="Drop Down 18">
              <controlPr defaultSize="0" autoLine="0" autoPict="0" macro="[0]!Scroll">
                <anchor moveWithCells="1">
                  <from>
                    <xdr:col>2</xdr:col>
                    <xdr:colOff>333375</xdr:colOff>
                    <xdr:row>26</xdr:row>
                    <xdr:rowOff>123825</xdr:rowOff>
                  </from>
                  <to>
                    <xdr:col>4</xdr:col>
                    <xdr:colOff>914400</xdr:colOff>
                    <xdr:row>26</xdr:row>
                    <xdr:rowOff>390525</xdr:rowOff>
                  </to>
                </anchor>
              </controlPr>
            </control>
          </mc:Choice>
        </mc:AlternateContent>
        <mc:AlternateContent xmlns:mc="http://schemas.openxmlformats.org/markup-compatibility/2006">
          <mc:Choice Requires="x14">
            <control shapeId="528403" r:id="rId18" name="Drop Down 19">
              <controlPr defaultSize="0" autoLine="0" autoPict="0" macro="[0]!Scroll">
                <anchor moveWithCells="1">
                  <from>
                    <xdr:col>2</xdr:col>
                    <xdr:colOff>333375</xdr:colOff>
                    <xdr:row>27</xdr:row>
                    <xdr:rowOff>123825</xdr:rowOff>
                  </from>
                  <to>
                    <xdr:col>4</xdr:col>
                    <xdr:colOff>914400</xdr:colOff>
                    <xdr:row>27</xdr:row>
                    <xdr:rowOff>390525</xdr:rowOff>
                  </to>
                </anchor>
              </controlPr>
            </control>
          </mc:Choice>
        </mc:AlternateContent>
        <mc:AlternateContent xmlns:mc="http://schemas.openxmlformats.org/markup-compatibility/2006">
          <mc:Choice Requires="x14">
            <control shapeId="528404" r:id="rId19" name="Drop Down 20">
              <controlPr defaultSize="0" autoLine="0" autoPict="0" macro="[0]!Scroll">
                <anchor moveWithCells="1">
                  <from>
                    <xdr:col>2</xdr:col>
                    <xdr:colOff>333375</xdr:colOff>
                    <xdr:row>28</xdr:row>
                    <xdr:rowOff>123825</xdr:rowOff>
                  </from>
                  <to>
                    <xdr:col>4</xdr:col>
                    <xdr:colOff>914400</xdr:colOff>
                    <xdr:row>28</xdr:row>
                    <xdr:rowOff>390525</xdr:rowOff>
                  </to>
                </anchor>
              </controlPr>
            </control>
          </mc:Choice>
        </mc:AlternateContent>
        <mc:AlternateContent xmlns:mc="http://schemas.openxmlformats.org/markup-compatibility/2006">
          <mc:Choice Requires="x14">
            <control shapeId="528405" r:id="rId20" name="Drop Down 21">
              <controlPr defaultSize="0" autoLine="0" autoPict="0" macro="[0]!Scroll">
                <anchor moveWithCells="1">
                  <from>
                    <xdr:col>2</xdr:col>
                    <xdr:colOff>333375</xdr:colOff>
                    <xdr:row>29</xdr:row>
                    <xdr:rowOff>123825</xdr:rowOff>
                  </from>
                  <to>
                    <xdr:col>4</xdr:col>
                    <xdr:colOff>914400</xdr:colOff>
                    <xdr:row>29</xdr:row>
                    <xdr:rowOff>390525</xdr:rowOff>
                  </to>
                </anchor>
              </controlPr>
            </control>
          </mc:Choice>
        </mc:AlternateContent>
        <mc:AlternateContent xmlns:mc="http://schemas.openxmlformats.org/markup-compatibility/2006">
          <mc:Choice Requires="x14">
            <control shapeId="528406" r:id="rId21" name="Drop Down 22">
              <controlPr defaultSize="0" autoLine="0" autoPict="0" macro="[0]!Scroll">
                <anchor moveWithCells="1">
                  <from>
                    <xdr:col>2</xdr:col>
                    <xdr:colOff>333375</xdr:colOff>
                    <xdr:row>30</xdr:row>
                    <xdr:rowOff>123825</xdr:rowOff>
                  </from>
                  <to>
                    <xdr:col>4</xdr:col>
                    <xdr:colOff>914400</xdr:colOff>
                    <xdr:row>30</xdr:row>
                    <xdr:rowOff>390525</xdr:rowOff>
                  </to>
                </anchor>
              </controlPr>
            </control>
          </mc:Choice>
        </mc:AlternateContent>
        <mc:AlternateContent xmlns:mc="http://schemas.openxmlformats.org/markup-compatibility/2006">
          <mc:Choice Requires="x14">
            <control shapeId="528407" r:id="rId22" name="Drop Down 23">
              <controlPr defaultSize="0" autoLine="0" autoPict="0" macro="[0]!Scroll">
                <anchor moveWithCells="1">
                  <from>
                    <xdr:col>2</xdr:col>
                    <xdr:colOff>333375</xdr:colOff>
                    <xdr:row>31</xdr:row>
                    <xdr:rowOff>123825</xdr:rowOff>
                  </from>
                  <to>
                    <xdr:col>4</xdr:col>
                    <xdr:colOff>914400</xdr:colOff>
                    <xdr:row>31</xdr:row>
                    <xdr:rowOff>390525</xdr:rowOff>
                  </to>
                </anchor>
              </controlPr>
            </control>
          </mc:Choice>
        </mc:AlternateContent>
        <mc:AlternateContent xmlns:mc="http://schemas.openxmlformats.org/markup-compatibility/2006">
          <mc:Choice Requires="x14">
            <control shapeId="528408" r:id="rId23" name="Drop Down 24">
              <controlPr defaultSize="0" autoLine="0" autoPict="0" macro="[0]!Scroll">
                <anchor moveWithCells="1">
                  <from>
                    <xdr:col>2</xdr:col>
                    <xdr:colOff>333375</xdr:colOff>
                    <xdr:row>32</xdr:row>
                    <xdr:rowOff>123825</xdr:rowOff>
                  </from>
                  <to>
                    <xdr:col>4</xdr:col>
                    <xdr:colOff>914400</xdr:colOff>
                    <xdr:row>32</xdr:row>
                    <xdr:rowOff>390525</xdr:rowOff>
                  </to>
                </anchor>
              </controlPr>
            </control>
          </mc:Choice>
        </mc:AlternateContent>
        <mc:AlternateContent xmlns:mc="http://schemas.openxmlformats.org/markup-compatibility/2006">
          <mc:Choice Requires="x14">
            <control shapeId="528409" r:id="rId24" name="Drop Down 25">
              <controlPr defaultSize="0" autoLine="0" autoPict="0" macro="[0]!Scroll">
                <anchor moveWithCells="1">
                  <from>
                    <xdr:col>2</xdr:col>
                    <xdr:colOff>333375</xdr:colOff>
                    <xdr:row>33</xdr:row>
                    <xdr:rowOff>123825</xdr:rowOff>
                  </from>
                  <to>
                    <xdr:col>4</xdr:col>
                    <xdr:colOff>914400</xdr:colOff>
                    <xdr:row>33</xdr:row>
                    <xdr:rowOff>390525</xdr:rowOff>
                  </to>
                </anchor>
              </controlPr>
            </control>
          </mc:Choice>
        </mc:AlternateContent>
        <mc:AlternateContent xmlns:mc="http://schemas.openxmlformats.org/markup-compatibility/2006">
          <mc:Choice Requires="x14">
            <control shapeId="528410" r:id="rId25" name="Drop Down 26">
              <controlPr defaultSize="0" autoLine="0" autoPict="0" macro="[0]!Scroll4">
                <anchor moveWithCells="1">
                  <from>
                    <xdr:col>2</xdr:col>
                    <xdr:colOff>333375</xdr:colOff>
                    <xdr:row>34</xdr:row>
                    <xdr:rowOff>123825</xdr:rowOff>
                  </from>
                  <to>
                    <xdr:col>2</xdr:col>
                    <xdr:colOff>1190625</xdr:colOff>
                    <xdr:row>34</xdr:row>
                    <xdr:rowOff>390525</xdr:rowOff>
                  </to>
                </anchor>
              </controlPr>
            </control>
          </mc:Choice>
        </mc:AlternateContent>
        <mc:AlternateContent xmlns:mc="http://schemas.openxmlformats.org/markup-compatibility/2006">
          <mc:Choice Requires="x14">
            <control shapeId="528495" r:id="rId26" name="Button 111">
              <controlPr defaultSize="0" print="0" autoFill="0" autoPict="0" macro="[0]!Accueil">
                <anchor>
                  <from>
                    <xdr:col>2</xdr:col>
                    <xdr:colOff>409575</xdr:colOff>
                    <xdr:row>0</xdr:row>
                    <xdr:rowOff>76200</xdr:rowOff>
                  </from>
                  <to>
                    <xdr:col>2</xdr:col>
                    <xdr:colOff>2171700</xdr:colOff>
                    <xdr:row>1</xdr:row>
                    <xdr:rowOff>200025</xdr:rowOff>
                  </to>
                </anchor>
              </controlPr>
            </control>
          </mc:Choice>
        </mc:AlternateContent>
        <mc:AlternateContent xmlns:mc="http://schemas.openxmlformats.org/markup-compatibility/2006">
          <mc:Choice Requires="x14">
            <control shapeId="528717" r:id="rId27" name="Drop Down 333">
              <controlPr defaultSize="0" print="0" autoLine="0" autoPict="0" macro="[0]!Scroll">
                <anchor moveWithCells="1">
                  <from>
                    <xdr:col>2</xdr:col>
                    <xdr:colOff>333375</xdr:colOff>
                    <xdr:row>8</xdr:row>
                    <xdr:rowOff>123825</xdr:rowOff>
                  </from>
                  <to>
                    <xdr:col>2</xdr:col>
                    <xdr:colOff>1228725</xdr:colOff>
                    <xdr:row>8</xdr:row>
                    <xdr:rowOff>390525</xdr:rowOff>
                  </to>
                </anchor>
              </controlPr>
            </control>
          </mc:Choice>
        </mc:AlternateContent>
        <mc:AlternateContent xmlns:mc="http://schemas.openxmlformats.org/markup-compatibility/2006">
          <mc:Choice Requires="x14">
            <control shapeId="528718" r:id="rId28" name="Drop Down 334">
              <controlPr defaultSize="0" autoLine="0" autoPict="0" macro="[0]!Scroll">
                <anchor moveWithCells="1">
                  <from>
                    <xdr:col>2</xdr:col>
                    <xdr:colOff>333375</xdr:colOff>
                    <xdr:row>9</xdr:row>
                    <xdr:rowOff>123825</xdr:rowOff>
                  </from>
                  <to>
                    <xdr:col>2</xdr:col>
                    <xdr:colOff>1228725</xdr:colOff>
                    <xdr:row>9</xdr:row>
                    <xdr:rowOff>390525</xdr:rowOff>
                  </to>
                </anchor>
              </controlPr>
            </control>
          </mc:Choice>
        </mc:AlternateContent>
        <mc:AlternateContent xmlns:mc="http://schemas.openxmlformats.org/markup-compatibility/2006">
          <mc:Choice Requires="x14">
            <control shapeId="528719" r:id="rId29" name="Drop Down 335">
              <controlPr defaultSize="0" autoLine="0" autoPict="0" macro="[0]!Scroll2">
                <anchor moveWithCells="1">
                  <from>
                    <xdr:col>2</xdr:col>
                    <xdr:colOff>333375</xdr:colOff>
                    <xdr:row>10</xdr:row>
                    <xdr:rowOff>123825</xdr:rowOff>
                  </from>
                  <to>
                    <xdr:col>2</xdr:col>
                    <xdr:colOff>1228725</xdr:colOff>
                    <xdr:row>10</xdr:row>
                    <xdr:rowOff>390525</xdr:rowOff>
                  </to>
                </anchor>
              </controlPr>
            </control>
          </mc:Choice>
        </mc:AlternateContent>
        <mc:AlternateContent xmlns:mc="http://schemas.openxmlformats.org/markup-compatibility/2006">
          <mc:Choice Requires="x14">
            <control shapeId="528828" r:id="rId30" name="Button 444">
              <controlPr defaultSize="0" print="0" autoFill="0" autoPict="0" macro="[0]!Facteurs">
                <anchor>
                  <from>
                    <xdr:col>1</xdr:col>
                    <xdr:colOff>2352675</xdr:colOff>
                    <xdr:row>38</xdr:row>
                    <xdr:rowOff>0</xdr:rowOff>
                  </from>
                  <to>
                    <xdr:col>2</xdr:col>
                    <xdr:colOff>266700</xdr:colOff>
                    <xdr:row>39</xdr:row>
                    <xdr:rowOff>238125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F0533-9246-42E1-A9DB-C75125C47D03}">
  <sheetPr codeName="Feuil28"/>
  <dimension ref="A1"/>
  <sheetViews>
    <sheetView showGridLines="0" showRowColHeaders="0" zoomScale="130" zoomScaleNormal="130" workbookViewId="0"/>
  </sheetViews>
  <sheetFormatPr baseColWidth="10" defaultRowHeight="12.75"/>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E502"/>
  <sheetViews>
    <sheetView showGridLines="0" showRowColHeaders="0" zoomScale="144" zoomScaleNormal="144" zoomScalePageLayoutView="140" workbookViewId="0">
      <pane ySplit="2" topLeftCell="A3" activePane="bottomLeft" state="frozen"/>
      <selection pane="bottomLeft" activeCell="B1" sqref="B1:B2"/>
    </sheetView>
  </sheetViews>
  <sheetFormatPr baseColWidth="10" defaultColWidth="11.28515625" defaultRowHeight="12.75"/>
  <cols>
    <col min="1" max="1" width="4" style="120" customWidth="1"/>
    <col min="2" max="2" width="88.85546875" style="120" customWidth="1"/>
    <col min="3" max="3" width="47" style="120" customWidth="1"/>
    <col min="4" max="16384" width="11.28515625" style="120"/>
  </cols>
  <sheetData>
    <row r="1" spans="1:5" s="125" customFormat="1" ht="22.5" customHeight="1">
      <c r="B1" s="494" t="s">
        <v>727</v>
      </c>
    </row>
    <row r="2" spans="1:5" s="125" customFormat="1" ht="22.5" customHeight="1">
      <c r="B2" s="495"/>
    </row>
    <row r="3" spans="1:5" s="125" customFormat="1" ht="9" customHeight="1">
      <c r="A3" s="131"/>
    </row>
    <row r="4" spans="1:5" s="125" customFormat="1" ht="18.75" customHeight="1">
      <c r="A4" s="483" t="s">
        <v>351</v>
      </c>
      <c r="B4" s="490"/>
    </row>
    <row r="5" spans="1:5" s="125" customFormat="1" ht="12" customHeight="1">
      <c r="A5" s="491" t="s">
        <v>361</v>
      </c>
      <c r="B5" s="492"/>
      <c r="C5" s="130"/>
      <c r="D5" s="130"/>
      <c r="E5" s="130"/>
    </row>
    <row r="6" spans="1:5" s="125" customFormat="1" ht="25.5" customHeight="1">
      <c r="A6" s="493"/>
      <c r="B6" s="492"/>
      <c r="C6" s="130"/>
      <c r="D6" s="130"/>
      <c r="E6" s="130"/>
    </row>
    <row r="7" spans="1:5" s="125" customFormat="1" ht="32.25" customHeight="1">
      <c r="A7" s="493"/>
      <c r="B7" s="492"/>
      <c r="C7" s="130"/>
      <c r="D7" s="130"/>
      <c r="E7" s="130"/>
    </row>
    <row r="8" spans="1:5" s="139" customFormat="1" ht="33.75" customHeight="1" thickBot="1">
      <c r="B8" s="141" t="s">
        <v>319</v>
      </c>
      <c r="C8" s="138"/>
      <c r="D8" s="138"/>
      <c r="E8" s="138"/>
    </row>
    <row r="9" spans="1:5" ht="37.5" customHeight="1" thickBot="1">
      <c r="A9" s="121">
        <v>1</v>
      </c>
      <c r="B9" s="122" t="s">
        <v>317</v>
      </c>
    </row>
    <row r="10" spans="1:5" ht="37.5" customHeight="1" thickBot="1">
      <c r="A10" s="121">
        <v>2</v>
      </c>
      <c r="B10" s="122" t="s">
        <v>58</v>
      </c>
    </row>
    <row r="11" spans="1:5" ht="37.5" customHeight="1" thickBot="1">
      <c r="A11" s="121">
        <v>3</v>
      </c>
      <c r="B11" s="122" t="s">
        <v>63</v>
      </c>
    </row>
    <row r="12" spans="1:5" ht="37.5" customHeight="1" thickBot="1">
      <c r="A12" s="121">
        <v>4</v>
      </c>
      <c r="B12" s="122" t="s">
        <v>68</v>
      </c>
    </row>
    <row r="13" spans="1:5" ht="37.5" customHeight="1" thickBot="1">
      <c r="A13" s="121">
        <v>5</v>
      </c>
      <c r="B13" s="122" t="s">
        <v>69</v>
      </c>
    </row>
    <row r="14" spans="1:5" ht="37.5" customHeight="1" thickBot="1">
      <c r="A14" s="121">
        <v>6</v>
      </c>
      <c r="B14" s="122" t="s">
        <v>70</v>
      </c>
    </row>
    <row r="15" spans="1:5" ht="37.5" customHeight="1" thickBot="1">
      <c r="A15" s="121">
        <v>7</v>
      </c>
      <c r="B15" s="122" t="s">
        <v>83</v>
      </c>
    </row>
    <row r="16" spans="1:5" ht="37.5" customHeight="1" thickBot="1">
      <c r="A16" s="121">
        <v>8</v>
      </c>
      <c r="B16" s="122" t="s">
        <v>318</v>
      </c>
    </row>
    <row r="17" spans="1:2" ht="37.5" customHeight="1" thickBot="1">
      <c r="A17" s="123">
        <v>9</v>
      </c>
      <c r="B17" s="127" t="s">
        <v>571</v>
      </c>
    </row>
    <row r="18" spans="1:2" s="139" customFormat="1" ht="33.75" customHeight="1" thickBot="1">
      <c r="B18" s="140" t="s">
        <v>320</v>
      </c>
    </row>
    <row r="19" spans="1:2" ht="37.5" customHeight="1" thickBot="1">
      <c r="A19" s="123">
        <v>10</v>
      </c>
      <c r="B19" s="122" t="s">
        <v>321</v>
      </c>
    </row>
    <row r="20" spans="1:2" ht="37.5" customHeight="1" thickBot="1">
      <c r="A20" s="121">
        <v>11</v>
      </c>
      <c r="B20" s="122" t="s">
        <v>322</v>
      </c>
    </row>
    <row r="21" spans="1:2" ht="37.5" customHeight="1" thickBot="1">
      <c r="A21" s="121">
        <v>12</v>
      </c>
      <c r="B21" s="122" t="s">
        <v>74</v>
      </c>
    </row>
    <row r="22" spans="1:2" ht="37.5" customHeight="1" thickBot="1">
      <c r="A22" s="121">
        <v>13</v>
      </c>
      <c r="B22" s="122" t="s">
        <v>632</v>
      </c>
    </row>
    <row r="23" spans="1:2" ht="37.5" customHeight="1" thickBot="1">
      <c r="A23" s="121">
        <v>14</v>
      </c>
      <c r="B23" s="122" t="s">
        <v>324</v>
      </c>
    </row>
    <row r="24" spans="1:2" ht="37.5" customHeight="1" thickBot="1">
      <c r="A24" s="121">
        <v>15</v>
      </c>
      <c r="B24" s="122" t="s">
        <v>323</v>
      </c>
    </row>
    <row r="25" spans="1:2" ht="37.5" customHeight="1" thickBot="1">
      <c r="A25" s="121">
        <v>16</v>
      </c>
      <c r="B25" s="122" t="s">
        <v>325</v>
      </c>
    </row>
    <row r="26" spans="1:2" ht="37.5" customHeight="1" thickBot="1">
      <c r="A26" s="121">
        <v>17</v>
      </c>
      <c r="B26" s="122" t="s">
        <v>326</v>
      </c>
    </row>
    <row r="27" spans="1:2" ht="37.5" customHeight="1" thickBot="1">
      <c r="A27" s="121">
        <v>18</v>
      </c>
      <c r="B27" s="122" t="s">
        <v>327</v>
      </c>
    </row>
    <row r="28" spans="1:2" ht="37.5" customHeight="1" thickBot="1">
      <c r="A28" s="121">
        <v>19</v>
      </c>
      <c r="B28" s="122" t="s">
        <v>75</v>
      </c>
    </row>
    <row r="29" spans="1:2" ht="37.5" customHeight="1" thickBot="1">
      <c r="A29" s="121">
        <v>20</v>
      </c>
      <c r="B29" s="124" t="s">
        <v>76</v>
      </c>
    </row>
    <row r="30" spans="1:2" ht="37.5" customHeight="1" thickBot="1">
      <c r="A30" s="121">
        <v>21</v>
      </c>
      <c r="B30" s="122" t="s">
        <v>77</v>
      </c>
    </row>
    <row r="31" spans="1:2" ht="37.5" customHeight="1" thickBot="1">
      <c r="A31" s="121">
        <v>22</v>
      </c>
      <c r="B31" s="122" t="s">
        <v>78</v>
      </c>
    </row>
    <row r="32" spans="1:2" ht="37.5" customHeight="1" thickBot="1">
      <c r="A32" s="121">
        <v>23</v>
      </c>
      <c r="B32" s="122" t="s">
        <v>79</v>
      </c>
    </row>
    <row r="33" spans="1:3" ht="37.5" customHeight="1" thickBot="1">
      <c r="A33" s="121">
        <v>24</v>
      </c>
      <c r="B33" s="122" t="s">
        <v>80</v>
      </c>
    </row>
    <row r="34" spans="1:3" ht="37.5" customHeight="1" thickBot="1">
      <c r="A34" s="121">
        <v>25</v>
      </c>
      <c r="B34" s="122" t="s">
        <v>81</v>
      </c>
    </row>
    <row r="35" spans="1:3" ht="37.5" customHeight="1" thickBot="1">
      <c r="A35" s="121">
        <v>26</v>
      </c>
      <c r="B35" s="122" t="s">
        <v>82</v>
      </c>
    </row>
    <row r="36" spans="1:3" s="128" customFormat="1" ht="26.25" customHeight="1">
      <c r="B36" s="134" t="str">
        <f>IF(recueil!N42&lt;26,"Merci de bien vouloir compléter le questionnaire avant de continuer","Merci. Vous pouvez passer à la suite.")</f>
        <v>Merci de bien vouloir compléter le questionnaire avant de continuer</v>
      </c>
      <c r="C36" s="129"/>
    </row>
    <row r="37" spans="1:3" s="150" customFormat="1" ht="33.75" customHeight="1"/>
    <row r="38" spans="1:3" s="125" customFormat="1"/>
    <row r="39" spans="1:3" s="125" customFormat="1" ht="24.75" customHeight="1"/>
    <row r="40" spans="1:3" s="125" customFormat="1" ht="22.5" customHeight="1"/>
    <row r="41" spans="1:3" s="125" customFormat="1" ht="22.5" customHeight="1"/>
    <row r="42" spans="1:3" s="125" customFormat="1" ht="22.5" customHeight="1"/>
    <row r="43" spans="1:3" s="153" customFormat="1" ht="26.25" customHeight="1"/>
    <row r="44" spans="1:3" s="125" customFormat="1" ht="30" customHeight="1"/>
    <row r="45" spans="1:3" s="125" customFormat="1" ht="30" customHeight="1"/>
    <row r="46" spans="1:3" s="125" customFormat="1" ht="30" customHeight="1"/>
    <row r="47" spans="1:3" s="125" customFormat="1" ht="30" customHeight="1"/>
    <row r="48" spans="1:3" s="125" customFormat="1" ht="30" customHeight="1"/>
    <row r="49" s="125" customFormat="1" ht="30" customHeight="1"/>
    <row r="50" s="153" customFormat="1" ht="26.25" customHeight="1"/>
    <row r="51" s="125" customFormat="1" ht="30" customHeight="1"/>
    <row r="52" s="125" customFormat="1" ht="30" customHeight="1"/>
    <row r="53" s="125" customFormat="1" ht="30" customHeight="1"/>
    <row r="54" s="125" customFormat="1" ht="30" customHeight="1"/>
    <row r="55" s="125" customFormat="1" ht="30" customHeight="1"/>
    <row r="56" s="125" customFormat="1" ht="30" customHeight="1"/>
    <row r="57" s="153" customFormat="1" ht="26.25" customHeight="1"/>
    <row r="58" s="125" customFormat="1" ht="30" customHeight="1"/>
    <row r="59" s="125" customFormat="1" ht="30" customHeight="1"/>
    <row r="60" s="125" customFormat="1" ht="30" customHeight="1"/>
    <row r="61" s="125" customFormat="1" ht="30" customHeight="1"/>
    <row r="62" s="125" customFormat="1" ht="30" customHeight="1"/>
    <row r="63" s="125" customFormat="1" ht="30" customHeight="1"/>
    <row r="64" s="153" customFormat="1" ht="26.25" customHeight="1"/>
    <row r="65" s="125" customFormat="1" ht="30" customHeight="1"/>
    <row r="66" s="125" customFormat="1" ht="30" customHeight="1"/>
    <row r="67" s="125" customFormat="1" ht="30" customHeight="1"/>
    <row r="68" s="125" customFormat="1" ht="30" customHeight="1"/>
    <row r="69" s="125" customFormat="1" ht="30" customHeight="1"/>
    <row r="70" s="125" customFormat="1" ht="30" customHeight="1"/>
    <row r="71" s="153" customFormat="1" ht="26.25" customHeight="1"/>
    <row r="72" s="125" customFormat="1" ht="30" customHeight="1"/>
    <row r="73" s="125" customFormat="1" ht="30" customHeight="1"/>
    <row r="74" s="125" customFormat="1" ht="30" customHeight="1"/>
    <row r="75" s="125" customFormat="1" ht="30" customHeight="1"/>
    <row r="76" s="125" customFormat="1" ht="30" customHeight="1"/>
    <row r="77" s="125" customFormat="1" ht="30" customHeight="1"/>
    <row r="78" s="153" customFormat="1" ht="26.25" customHeight="1"/>
    <row r="79" s="125" customFormat="1" ht="30" customHeight="1"/>
    <row r="80" s="125" customFormat="1" ht="30" customHeight="1"/>
    <row r="81" s="125" customFormat="1" ht="30" customHeight="1"/>
    <row r="82" s="125" customFormat="1" ht="30" customHeight="1"/>
    <row r="83" s="125" customFormat="1" ht="30" customHeight="1"/>
    <row r="84" s="125" customFormat="1" ht="30" customHeight="1"/>
    <row r="85" s="153" customFormat="1" ht="26.25" customHeight="1"/>
    <row r="86" s="125" customFormat="1" ht="30" customHeight="1"/>
    <row r="87" s="125" customFormat="1" ht="30" customHeight="1"/>
    <row r="88" s="125" customFormat="1" ht="30" customHeight="1"/>
    <row r="89" s="125" customFormat="1" ht="30" customHeight="1"/>
    <row r="90" s="125" customFormat="1" ht="30" customHeight="1"/>
    <row r="91" s="125" customFormat="1" ht="30" customHeight="1"/>
    <row r="92" s="153" customFormat="1" ht="26.25" customHeight="1"/>
    <row r="93" s="125" customFormat="1" ht="30" customHeight="1"/>
    <row r="94" s="125" customFormat="1" ht="30" customHeight="1"/>
    <row r="95" s="125" customFormat="1" ht="30" customHeight="1"/>
    <row r="96" s="125" customFormat="1" ht="30" customHeight="1"/>
    <row r="97" s="125" customFormat="1" ht="30" customHeight="1"/>
    <row r="98" s="125" customFormat="1" ht="30" customHeight="1"/>
    <row r="99" s="153" customFormat="1" ht="26.25" customHeight="1"/>
    <row r="100" s="125" customFormat="1" ht="30" customHeight="1"/>
    <row r="101" s="125" customFormat="1" ht="30" customHeight="1"/>
    <row r="102" s="125" customFormat="1" ht="30" customHeight="1"/>
    <row r="103" s="125" customFormat="1" ht="30" customHeight="1"/>
    <row r="104" s="125" customFormat="1" ht="30" customHeight="1"/>
    <row r="105" s="125" customFormat="1" ht="30" customHeight="1"/>
    <row r="106" s="153" customFormat="1" ht="26.25" customHeight="1"/>
    <row r="107" s="125" customFormat="1" ht="30" customHeight="1"/>
    <row r="108" s="125" customFormat="1" ht="30" customHeight="1"/>
    <row r="109" s="125" customFormat="1" ht="30" customHeight="1"/>
    <row r="110" s="125" customFormat="1" ht="30" customHeight="1"/>
    <row r="111" s="125" customFormat="1" ht="30" customHeight="1"/>
    <row r="112" s="125" customFormat="1" ht="30" customHeight="1"/>
    <row r="113" s="153" customFormat="1" ht="26.25" customHeight="1"/>
    <row r="114" s="125" customFormat="1" ht="30" customHeight="1"/>
    <row r="115" s="125" customFormat="1" ht="30" customHeight="1"/>
    <row r="116" s="125" customFormat="1" ht="30" customHeight="1"/>
    <row r="117" s="125" customFormat="1" ht="30" customHeight="1"/>
    <row r="118" s="125" customFormat="1" ht="30" customHeight="1"/>
    <row r="119" s="125" customFormat="1" ht="30" customHeight="1"/>
    <row r="120" s="153" customFormat="1" ht="26.25" customHeight="1"/>
    <row r="121" s="125" customFormat="1" ht="30" customHeight="1"/>
    <row r="122" s="125" customFormat="1" ht="30" customHeight="1"/>
    <row r="123" s="125" customFormat="1" ht="30" customHeight="1"/>
    <row r="124" s="125" customFormat="1" ht="30" customHeight="1"/>
    <row r="125" s="125" customFormat="1" ht="30" customHeight="1"/>
    <row r="126" s="125" customFormat="1" ht="30" customHeight="1"/>
    <row r="127" s="153" customFormat="1" ht="26.25" customHeight="1"/>
    <row r="128" s="125" customFormat="1" ht="30" customHeight="1"/>
    <row r="129" s="125" customFormat="1" ht="30" customHeight="1"/>
    <row r="130" s="125" customFormat="1" ht="30" customHeight="1"/>
    <row r="131" s="125" customFormat="1" ht="30" customHeight="1"/>
    <row r="132" s="125" customFormat="1" ht="30" customHeight="1"/>
    <row r="133" s="125" customFormat="1" ht="30" customHeight="1"/>
    <row r="134" s="153" customFormat="1" ht="26.25" customHeight="1"/>
    <row r="135" s="125" customFormat="1" ht="30" customHeight="1"/>
    <row r="136" s="125" customFormat="1" ht="30" customHeight="1"/>
    <row r="137" s="125" customFormat="1" ht="30" customHeight="1"/>
    <row r="138" s="125" customFormat="1" ht="30" customHeight="1"/>
    <row r="139" s="125" customFormat="1" ht="30" customHeight="1"/>
    <row r="140" s="125" customFormat="1" ht="30" customHeight="1"/>
    <row r="141" s="125" customFormat="1" ht="21" customHeight="1"/>
    <row r="142" s="157" customFormat="1" ht="23.25" customHeight="1"/>
    <row r="143" s="125" customFormat="1" ht="30" customHeight="1"/>
    <row r="144" ht="30" customHeight="1"/>
    <row r="145" spans="2:2" ht="30" customHeight="1">
      <c r="B145" s="126"/>
    </row>
    <row r="146" spans="2:2" ht="30" customHeight="1"/>
    <row r="147" spans="2:2" ht="30" customHeight="1"/>
    <row r="148" spans="2:2" ht="30" customHeight="1"/>
    <row r="149" spans="2:2" ht="30" customHeight="1"/>
    <row r="150" spans="2:2" ht="30" customHeight="1"/>
    <row r="151" spans="2:2" ht="30" customHeight="1"/>
    <row r="152" spans="2:2" ht="30" customHeight="1"/>
    <row r="153" spans="2:2" ht="30" customHeight="1"/>
    <row r="154" spans="2:2" ht="30" customHeight="1"/>
    <row r="155" spans="2:2" ht="30" customHeight="1"/>
    <row r="156" spans="2:2" ht="30" customHeight="1"/>
    <row r="157" spans="2:2" ht="30" customHeight="1"/>
    <row r="158" spans="2:2" ht="30" customHeight="1"/>
    <row r="159" spans="2:2" ht="30" customHeight="1"/>
    <row r="160" spans="2:2"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15" customHeight="1"/>
    <row r="190" ht="52.5" customHeight="1"/>
    <row r="191" ht="27.75" customHeight="1"/>
    <row r="193" ht="30" customHeight="1"/>
    <row r="194" ht="30" customHeight="1"/>
    <row r="195" ht="30" customHeight="1"/>
    <row r="196" ht="30" customHeight="1"/>
    <row r="197" ht="30" customHeight="1"/>
    <row r="198" ht="30" customHeight="1"/>
    <row r="199" ht="22.5" customHeight="1"/>
    <row r="200" ht="30" customHeight="1"/>
    <row r="201" ht="30" customHeight="1"/>
    <row r="202" ht="30" customHeight="1"/>
    <row r="203" ht="30" customHeight="1"/>
    <row r="204" ht="30" customHeight="1"/>
    <row r="205" ht="30" customHeight="1"/>
    <row r="206" ht="30" customHeight="1"/>
    <row r="207" ht="30" customHeight="1"/>
    <row r="208" ht="30" customHeight="1"/>
    <row r="209" ht="30" customHeight="1"/>
    <row r="210" ht="30" customHeight="1"/>
    <row r="211" ht="30" customHeight="1"/>
    <row r="212" ht="30" customHeight="1"/>
    <row r="213" ht="30" customHeight="1"/>
    <row r="214" ht="30" customHeight="1"/>
    <row r="215" ht="30" customHeight="1"/>
    <row r="216" ht="30" customHeight="1"/>
    <row r="217" ht="30" customHeight="1"/>
    <row r="218" ht="30" customHeight="1"/>
    <row r="219" ht="30" customHeight="1"/>
    <row r="220" ht="30" customHeight="1"/>
    <row r="221" ht="30" customHeight="1"/>
    <row r="222" ht="30" customHeight="1"/>
    <row r="223" ht="30" customHeight="1"/>
    <row r="224" ht="30" customHeight="1"/>
    <row r="225" ht="30" customHeight="1"/>
    <row r="226" ht="30" customHeight="1"/>
    <row r="227" ht="30" customHeight="1"/>
    <row r="228" ht="30" customHeight="1"/>
    <row r="229" ht="30" customHeight="1"/>
    <row r="230" ht="15" customHeight="1"/>
    <row r="231" ht="48.75" customHeight="1"/>
    <row r="232" ht="21.75" customHeight="1"/>
    <row r="234" ht="30" customHeight="1"/>
    <row r="235" ht="30" customHeight="1"/>
    <row r="236" ht="30" customHeight="1"/>
    <row r="237" ht="30" customHeight="1"/>
    <row r="238" ht="30" customHeight="1"/>
    <row r="239" ht="30" customHeight="1"/>
    <row r="240" ht="30" customHeight="1"/>
    <row r="241" ht="30" customHeight="1"/>
    <row r="242" ht="30" customHeight="1"/>
    <row r="243" ht="30" customHeight="1"/>
    <row r="244" ht="30" customHeight="1"/>
    <row r="245" ht="30" customHeight="1"/>
    <row r="246" ht="30" customHeight="1"/>
    <row r="247" ht="30" customHeight="1"/>
    <row r="248" ht="30" customHeight="1"/>
    <row r="249" ht="30" customHeight="1"/>
    <row r="250" ht="30" customHeight="1"/>
    <row r="251" ht="30" customHeight="1"/>
    <row r="252" ht="30" customHeight="1"/>
    <row r="253" ht="30" customHeight="1"/>
    <row r="254" ht="30" customHeight="1"/>
    <row r="255" ht="30" customHeight="1"/>
    <row r="256" ht="30" customHeight="1"/>
    <row r="257" ht="30" customHeight="1"/>
    <row r="258" ht="30" customHeight="1"/>
    <row r="259" ht="30" customHeight="1"/>
    <row r="260" ht="30" customHeight="1"/>
    <row r="261" ht="30" customHeight="1"/>
    <row r="262" ht="30" customHeight="1"/>
    <row r="263" ht="30" customHeight="1"/>
    <row r="264" ht="30" customHeight="1"/>
    <row r="265" ht="30" customHeight="1"/>
    <row r="266" ht="30" customHeight="1"/>
    <row r="267" ht="30" customHeight="1"/>
    <row r="268" ht="30" customHeight="1"/>
    <row r="269" ht="30" customHeight="1"/>
    <row r="270" ht="30" customHeight="1"/>
    <row r="271" ht="30" customHeight="1"/>
    <row r="272" ht="30" customHeight="1"/>
    <row r="273" ht="30" customHeight="1"/>
    <row r="274" ht="15" customHeight="1"/>
    <row r="275" ht="52.5" customHeight="1"/>
    <row r="276" ht="51" customHeight="1"/>
    <row r="278" ht="30" customHeight="1"/>
    <row r="279" ht="30" customHeight="1"/>
    <row r="280" ht="33" customHeight="1"/>
    <row r="281" ht="33.75" customHeight="1"/>
    <row r="282" ht="30" customHeight="1"/>
    <row r="283" ht="33.75" customHeight="1"/>
    <row r="284" ht="30" customHeight="1"/>
    <row r="285" ht="30" customHeight="1"/>
    <row r="286" ht="33" customHeight="1"/>
    <row r="287" ht="30" customHeight="1"/>
    <row r="288" ht="33" customHeight="1"/>
    <row r="289" ht="33" customHeight="1"/>
    <row r="290" ht="30" customHeight="1"/>
    <row r="291" ht="33" customHeight="1"/>
    <row r="292" ht="33" customHeight="1"/>
    <row r="293" ht="33" customHeight="1"/>
    <row r="294" ht="33" customHeight="1"/>
    <row r="295" ht="30" customHeight="1"/>
    <row r="296" ht="33" customHeight="1"/>
    <row r="297" ht="30" customHeight="1"/>
    <row r="298" ht="15" customHeight="1"/>
    <row r="299" ht="52.5" customHeight="1"/>
    <row r="300" ht="37.5" customHeight="1"/>
    <row r="301" ht="30" customHeight="1"/>
    <row r="302" ht="30" customHeight="1"/>
    <row r="303" ht="30" customHeight="1"/>
    <row r="304" ht="30" customHeight="1"/>
    <row r="305" ht="15" customHeight="1"/>
    <row r="306" ht="116.25" customHeight="1"/>
    <row r="307" ht="187.5" customHeight="1"/>
    <row r="308" ht="225" customHeight="1"/>
    <row r="309" ht="96" customHeight="1"/>
    <row r="314" ht="30" customHeight="1"/>
    <row r="315" ht="30" customHeight="1"/>
    <row r="316" ht="30" customHeight="1"/>
    <row r="317" ht="30" customHeight="1"/>
    <row r="318" ht="30" customHeight="1"/>
    <row r="319" ht="30" customHeight="1"/>
    <row r="320" ht="30" customHeight="1"/>
    <row r="321" ht="30" customHeight="1"/>
    <row r="322" ht="30" customHeight="1"/>
    <row r="323" ht="30" customHeight="1"/>
    <row r="324" ht="30" customHeight="1"/>
    <row r="325" ht="30" customHeight="1"/>
    <row r="326" ht="30" customHeight="1"/>
    <row r="327" ht="30" customHeight="1"/>
    <row r="328" ht="30" customHeight="1"/>
    <row r="329" ht="30" customHeight="1"/>
    <row r="330" ht="30" customHeight="1"/>
    <row r="331" ht="30" customHeight="1"/>
    <row r="332" ht="30" customHeight="1"/>
    <row r="333" ht="30" customHeight="1"/>
    <row r="334" ht="30" customHeight="1"/>
    <row r="335" ht="15" customHeight="1"/>
    <row r="336" ht="30" customHeight="1"/>
    <row r="337" ht="89.25" customHeight="1"/>
    <row r="338" ht="30" customHeight="1"/>
    <row r="339" ht="30" customHeight="1"/>
    <row r="340" ht="30" customHeight="1"/>
    <row r="341" ht="30" customHeight="1"/>
    <row r="342" ht="30" customHeight="1"/>
    <row r="343" ht="30" customHeight="1"/>
    <row r="344" ht="30" customHeight="1"/>
    <row r="345" ht="30" customHeight="1"/>
    <row r="346" ht="30" customHeight="1"/>
    <row r="347" ht="30" customHeight="1"/>
    <row r="348" ht="30" customHeight="1"/>
    <row r="349" ht="30" customHeight="1"/>
    <row r="350" ht="30" customHeight="1"/>
    <row r="351" ht="30" customHeight="1"/>
    <row r="352" ht="30" customHeight="1"/>
    <row r="353" ht="30" customHeight="1"/>
    <row r="354" ht="30" customHeight="1"/>
    <row r="355" ht="30" customHeight="1"/>
    <row r="356" ht="30" customHeight="1"/>
    <row r="357" ht="30" customHeight="1"/>
    <row r="358" ht="30" customHeight="1"/>
    <row r="359" ht="12" customHeight="1"/>
    <row r="361" ht="30" customHeight="1"/>
    <row r="362" ht="30" customHeight="1"/>
    <row r="363" ht="30" customHeight="1"/>
    <row r="364" ht="30" customHeight="1"/>
    <row r="365" ht="30" customHeight="1"/>
    <row r="366" ht="30" customHeight="1"/>
    <row r="367" ht="30" customHeight="1"/>
    <row r="368" ht="30" customHeight="1"/>
    <row r="369" ht="30" customHeight="1"/>
    <row r="370" ht="30" customHeight="1"/>
    <row r="371" ht="30" customHeight="1"/>
    <row r="372" ht="30" customHeight="1"/>
    <row r="373" ht="30" customHeight="1"/>
    <row r="374" ht="30" customHeight="1"/>
    <row r="375" ht="30" customHeight="1"/>
    <row r="376" ht="30" customHeight="1"/>
    <row r="377" ht="30" customHeight="1"/>
    <row r="378" ht="30" customHeight="1"/>
    <row r="379" ht="30" customHeight="1"/>
    <row r="380" ht="30" customHeight="1"/>
    <row r="381" ht="15" customHeight="1"/>
    <row r="382" ht="58.5" customHeight="1"/>
    <row r="384" ht="39" customHeight="1"/>
    <row r="385" ht="30" customHeight="1"/>
    <row r="386" ht="30" customHeight="1"/>
    <row r="387" ht="30" customHeight="1"/>
    <row r="388" ht="30" customHeight="1"/>
    <row r="389" ht="30" customHeight="1"/>
    <row r="390" ht="30" customHeight="1"/>
    <row r="391" ht="30" customHeight="1"/>
    <row r="392" ht="30" customHeight="1"/>
    <row r="393" ht="30" customHeight="1"/>
    <row r="394" ht="30" customHeight="1"/>
    <row r="395" ht="15" customHeight="1"/>
    <row r="400" ht="31.5" customHeight="1"/>
    <row r="401" ht="31.5" customHeight="1"/>
    <row r="402" ht="31.5" customHeight="1"/>
    <row r="403" ht="31.5" customHeight="1"/>
    <row r="404" ht="31.5" customHeight="1"/>
    <row r="405" ht="31.5" customHeight="1"/>
    <row r="406" ht="31.5" customHeight="1"/>
    <row r="407" ht="31.5" customHeight="1"/>
    <row r="408" ht="31.5" customHeight="1"/>
    <row r="409" ht="31.5" customHeight="1"/>
    <row r="410" ht="31.5" customHeight="1"/>
    <row r="411" ht="31.5" customHeight="1"/>
    <row r="412" ht="31.5" customHeight="1"/>
    <row r="413" ht="31.5" customHeight="1"/>
    <row r="414" ht="31.5" customHeight="1"/>
    <row r="415" ht="31.5" customHeight="1"/>
    <row r="416" ht="31.5" customHeight="1"/>
    <row r="417" ht="31.5" customHeight="1"/>
    <row r="418" ht="31.5" customHeight="1"/>
    <row r="419" ht="31.5" customHeight="1"/>
    <row r="420" ht="31.5" customHeight="1"/>
    <row r="421" ht="31.5" customHeight="1"/>
    <row r="422" ht="31.5" customHeight="1"/>
    <row r="423" ht="31.5" customHeight="1"/>
    <row r="424" ht="31.5" customHeight="1"/>
    <row r="425" ht="31.5" customHeight="1"/>
    <row r="426" ht="31.5" customHeight="1"/>
    <row r="427" ht="31.5" customHeight="1"/>
    <row r="428" ht="31.5" customHeight="1"/>
    <row r="429" ht="31.5" customHeight="1"/>
    <row r="430" ht="31.5" customHeight="1"/>
    <row r="431" ht="31.5" customHeight="1"/>
    <row r="432" ht="31.5" customHeight="1"/>
    <row r="433" ht="31.5" customHeight="1"/>
    <row r="434" ht="31.5" customHeight="1"/>
    <row r="435" ht="31.5" customHeight="1"/>
    <row r="436" ht="31.5" customHeight="1"/>
    <row r="437" ht="31.5" customHeight="1"/>
    <row r="438" ht="31.5" customHeight="1"/>
    <row r="439" ht="31.5" customHeight="1"/>
    <row r="440" ht="31.5" customHeight="1"/>
    <row r="441" ht="31.5" customHeight="1"/>
    <row r="442" ht="31.5" customHeight="1"/>
    <row r="443" ht="31.5" customHeight="1"/>
    <row r="444" ht="31.5" customHeight="1"/>
    <row r="445" ht="31.5" customHeight="1"/>
    <row r="446" ht="31.5" customHeight="1"/>
    <row r="447" ht="31.5" customHeight="1"/>
    <row r="448" ht="31.5" customHeight="1"/>
    <row r="449" ht="31.5" customHeight="1"/>
    <row r="450" ht="31.5" customHeight="1"/>
    <row r="451" ht="31.5" customHeight="1"/>
    <row r="452" ht="31.5" customHeight="1"/>
    <row r="453" ht="31.5" customHeight="1"/>
    <row r="454" ht="31.5" customHeight="1"/>
    <row r="455" ht="31.5" customHeight="1"/>
    <row r="456" ht="31.5" customHeight="1"/>
    <row r="457" ht="31.5" customHeight="1"/>
    <row r="458" ht="31.5" customHeight="1"/>
    <row r="459" ht="31.5" customHeight="1"/>
    <row r="460" ht="15" customHeight="1"/>
    <row r="463" ht="30" customHeight="1"/>
    <row r="464" ht="30" customHeight="1"/>
    <row r="465" ht="30" customHeight="1"/>
    <row r="466" ht="30" customHeight="1"/>
    <row r="467" ht="30" customHeight="1"/>
    <row r="468" ht="30" customHeight="1"/>
    <row r="469" ht="30" customHeight="1"/>
    <row r="470" ht="30" customHeight="1"/>
    <row r="471" ht="30" customHeight="1"/>
    <row r="472" ht="30" customHeight="1"/>
    <row r="473" ht="30" customHeight="1"/>
    <row r="474" ht="30" customHeight="1"/>
    <row r="475" ht="30" customHeight="1"/>
    <row r="476" ht="30" customHeight="1"/>
    <row r="477" ht="30" customHeight="1"/>
    <row r="478" ht="30" customHeight="1"/>
    <row r="479" ht="30" customHeight="1"/>
    <row r="480" ht="31.5" customHeight="1"/>
    <row r="481" ht="30" customHeight="1"/>
    <row r="482" ht="30" customHeight="1"/>
    <row r="483" ht="30" customHeight="1"/>
    <row r="484" ht="30" customHeight="1"/>
    <row r="485" ht="30" customHeight="1"/>
    <row r="486" ht="30" customHeight="1"/>
    <row r="487" ht="30" customHeight="1"/>
    <row r="488" ht="30" customHeight="1"/>
    <row r="489" ht="30" customHeight="1"/>
    <row r="490" ht="30" customHeight="1"/>
    <row r="491" ht="30" customHeight="1"/>
    <row r="492" ht="30" customHeight="1"/>
    <row r="493" ht="30" customHeight="1"/>
    <row r="494" ht="30" customHeight="1"/>
    <row r="495" ht="30" customHeight="1"/>
    <row r="496" ht="30" customHeight="1"/>
    <row r="497" ht="30" customHeight="1"/>
    <row r="498" ht="30" customHeight="1"/>
    <row r="499" ht="30" customHeight="1"/>
    <row r="500" ht="30" customHeight="1"/>
    <row r="501" ht="150.75" customHeight="1"/>
    <row r="502" ht="96.75" customHeight="1"/>
  </sheetData>
  <sheetProtection sheet="1" objects="1" selectLockedCells="1" selectUnlockedCells="1"/>
  <mergeCells count="3">
    <mergeCell ref="A4:B4"/>
    <mergeCell ref="A5:B7"/>
    <mergeCell ref="B1:B2"/>
  </mergeCells>
  <phoneticPr fontId="7" type="noConversion"/>
  <pageMargins left="0.78740157499999996" right="0.78740157499999996" top="0.984251969" bottom="0.984251969" header="0.4921259845" footer="0.4921259845"/>
  <pageSetup paperSize="9" orientation="portrait" horizontalDpi="360" vertic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macro="[0]!Scroll2">
                <anchor moveWithCells="1">
                  <from>
                    <xdr:col>2</xdr:col>
                    <xdr:colOff>333375</xdr:colOff>
                    <xdr:row>8</xdr:row>
                    <xdr:rowOff>123825</xdr:rowOff>
                  </from>
                  <to>
                    <xdr:col>3</xdr:col>
                    <xdr:colOff>809625</xdr:colOff>
                    <xdr:row>8</xdr:row>
                    <xdr:rowOff>390525</xdr:rowOff>
                  </to>
                </anchor>
              </controlPr>
            </control>
          </mc:Choice>
        </mc:AlternateContent>
        <mc:AlternateContent xmlns:mc="http://schemas.openxmlformats.org/markup-compatibility/2006">
          <mc:Choice Requires="x14">
            <control shapeId="2051" r:id="rId5" name="Drop Down 3">
              <controlPr defaultSize="0" autoLine="0" autoPict="0" macro="[0]!Scroll2">
                <anchor moveWithCells="1">
                  <from>
                    <xdr:col>2</xdr:col>
                    <xdr:colOff>333375</xdr:colOff>
                    <xdr:row>9</xdr:row>
                    <xdr:rowOff>123825</xdr:rowOff>
                  </from>
                  <to>
                    <xdr:col>3</xdr:col>
                    <xdr:colOff>809625</xdr:colOff>
                    <xdr:row>9</xdr:row>
                    <xdr:rowOff>390525</xdr:rowOff>
                  </to>
                </anchor>
              </controlPr>
            </control>
          </mc:Choice>
        </mc:AlternateContent>
        <mc:AlternateContent xmlns:mc="http://schemas.openxmlformats.org/markup-compatibility/2006">
          <mc:Choice Requires="x14">
            <control shapeId="2052" r:id="rId6" name="Drop Down 4">
              <controlPr defaultSize="0" autoLine="0" autoPict="0" macro="[0]!Scroll2">
                <anchor moveWithCells="1">
                  <from>
                    <xdr:col>2</xdr:col>
                    <xdr:colOff>333375</xdr:colOff>
                    <xdr:row>10</xdr:row>
                    <xdr:rowOff>123825</xdr:rowOff>
                  </from>
                  <to>
                    <xdr:col>3</xdr:col>
                    <xdr:colOff>809625</xdr:colOff>
                    <xdr:row>10</xdr:row>
                    <xdr:rowOff>390525</xdr:rowOff>
                  </to>
                </anchor>
              </controlPr>
            </control>
          </mc:Choice>
        </mc:AlternateContent>
        <mc:AlternateContent xmlns:mc="http://schemas.openxmlformats.org/markup-compatibility/2006">
          <mc:Choice Requires="x14">
            <control shapeId="2053" r:id="rId7" name="Drop Down 5">
              <controlPr defaultSize="0" autoLine="0" autoPict="0" macro="[0]!Scroll">
                <anchor moveWithCells="1">
                  <from>
                    <xdr:col>2</xdr:col>
                    <xdr:colOff>333375</xdr:colOff>
                    <xdr:row>11</xdr:row>
                    <xdr:rowOff>123825</xdr:rowOff>
                  </from>
                  <to>
                    <xdr:col>3</xdr:col>
                    <xdr:colOff>809625</xdr:colOff>
                    <xdr:row>11</xdr:row>
                    <xdr:rowOff>390525</xdr:rowOff>
                  </to>
                </anchor>
              </controlPr>
            </control>
          </mc:Choice>
        </mc:AlternateContent>
        <mc:AlternateContent xmlns:mc="http://schemas.openxmlformats.org/markup-compatibility/2006">
          <mc:Choice Requires="x14">
            <control shapeId="2054" r:id="rId8" name="Drop Down 6">
              <controlPr defaultSize="0" autoLine="0" autoPict="0" macro="[0]!Scroll">
                <anchor moveWithCells="1">
                  <from>
                    <xdr:col>2</xdr:col>
                    <xdr:colOff>333375</xdr:colOff>
                    <xdr:row>12</xdr:row>
                    <xdr:rowOff>123825</xdr:rowOff>
                  </from>
                  <to>
                    <xdr:col>3</xdr:col>
                    <xdr:colOff>809625</xdr:colOff>
                    <xdr:row>12</xdr:row>
                    <xdr:rowOff>390525</xdr:rowOff>
                  </to>
                </anchor>
              </controlPr>
            </control>
          </mc:Choice>
        </mc:AlternateContent>
        <mc:AlternateContent xmlns:mc="http://schemas.openxmlformats.org/markup-compatibility/2006">
          <mc:Choice Requires="x14">
            <control shapeId="2055" r:id="rId9" name="Drop Down 7">
              <controlPr defaultSize="0" autoLine="0" autoPict="0" macro="[0]!Scroll">
                <anchor moveWithCells="1">
                  <from>
                    <xdr:col>2</xdr:col>
                    <xdr:colOff>333375</xdr:colOff>
                    <xdr:row>13</xdr:row>
                    <xdr:rowOff>123825</xdr:rowOff>
                  </from>
                  <to>
                    <xdr:col>3</xdr:col>
                    <xdr:colOff>809625</xdr:colOff>
                    <xdr:row>13</xdr:row>
                    <xdr:rowOff>390525</xdr:rowOff>
                  </to>
                </anchor>
              </controlPr>
            </control>
          </mc:Choice>
        </mc:AlternateContent>
        <mc:AlternateContent xmlns:mc="http://schemas.openxmlformats.org/markup-compatibility/2006">
          <mc:Choice Requires="x14">
            <control shapeId="2056" r:id="rId10" name="Drop Down 8">
              <controlPr defaultSize="0" autoLine="0" autoPict="0" macro="[0]!Scroll">
                <anchor moveWithCells="1">
                  <from>
                    <xdr:col>2</xdr:col>
                    <xdr:colOff>333375</xdr:colOff>
                    <xdr:row>14</xdr:row>
                    <xdr:rowOff>123825</xdr:rowOff>
                  </from>
                  <to>
                    <xdr:col>3</xdr:col>
                    <xdr:colOff>809625</xdr:colOff>
                    <xdr:row>14</xdr:row>
                    <xdr:rowOff>390525</xdr:rowOff>
                  </to>
                </anchor>
              </controlPr>
            </control>
          </mc:Choice>
        </mc:AlternateContent>
        <mc:AlternateContent xmlns:mc="http://schemas.openxmlformats.org/markup-compatibility/2006">
          <mc:Choice Requires="x14">
            <control shapeId="2057" r:id="rId11" name="Drop Down 9">
              <controlPr defaultSize="0" autoLine="0" autoPict="0" macro="[0]!Scroll">
                <anchor moveWithCells="1">
                  <from>
                    <xdr:col>2</xdr:col>
                    <xdr:colOff>333375</xdr:colOff>
                    <xdr:row>15</xdr:row>
                    <xdr:rowOff>123825</xdr:rowOff>
                  </from>
                  <to>
                    <xdr:col>3</xdr:col>
                    <xdr:colOff>809625</xdr:colOff>
                    <xdr:row>15</xdr:row>
                    <xdr:rowOff>390525</xdr:rowOff>
                  </to>
                </anchor>
              </controlPr>
            </control>
          </mc:Choice>
        </mc:AlternateContent>
        <mc:AlternateContent xmlns:mc="http://schemas.openxmlformats.org/markup-compatibility/2006">
          <mc:Choice Requires="x14">
            <control shapeId="2058" r:id="rId12" name="Drop Down 10">
              <controlPr defaultSize="0" autoLine="0" autoPict="0" macro="[0]!Scroll2">
                <anchor moveWithCells="1">
                  <from>
                    <xdr:col>2</xdr:col>
                    <xdr:colOff>333375</xdr:colOff>
                    <xdr:row>16</xdr:row>
                    <xdr:rowOff>123825</xdr:rowOff>
                  </from>
                  <to>
                    <xdr:col>3</xdr:col>
                    <xdr:colOff>809625</xdr:colOff>
                    <xdr:row>16</xdr:row>
                    <xdr:rowOff>390525</xdr:rowOff>
                  </to>
                </anchor>
              </controlPr>
            </control>
          </mc:Choice>
        </mc:AlternateContent>
        <mc:AlternateContent xmlns:mc="http://schemas.openxmlformats.org/markup-compatibility/2006">
          <mc:Choice Requires="x14">
            <control shapeId="2059" r:id="rId13" name="Drop Down 11">
              <controlPr defaultSize="0" autoLine="0" autoPict="0" macro="[0]!Scroll">
                <anchor moveWithCells="1">
                  <from>
                    <xdr:col>2</xdr:col>
                    <xdr:colOff>333375</xdr:colOff>
                    <xdr:row>18</xdr:row>
                    <xdr:rowOff>123825</xdr:rowOff>
                  </from>
                  <to>
                    <xdr:col>3</xdr:col>
                    <xdr:colOff>809625</xdr:colOff>
                    <xdr:row>18</xdr:row>
                    <xdr:rowOff>390525</xdr:rowOff>
                  </to>
                </anchor>
              </controlPr>
            </control>
          </mc:Choice>
        </mc:AlternateContent>
        <mc:AlternateContent xmlns:mc="http://schemas.openxmlformats.org/markup-compatibility/2006">
          <mc:Choice Requires="x14">
            <control shapeId="2060" r:id="rId14" name="Drop Down 12">
              <controlPr defaultSize="0" autoLine="0" autoPict="0" macro="[0]!Scroll">
                <anchor moveWithCells="1">
                  <from>
                    <xdr:col>2</xdr:col>
                    <xdr:colOff>333375</xdr:colOff>
                    <xdr:row>19</xdr:row>
                    <xdr:rowOff>123825</xdr:rowOff>
                  </from>
                  <to>
                    <xdr:col>3</xdr:col>
                    <xdr:colOff>809625</xdr:colOff>
                    <xdr:row>19</xdr:row>
                    <xdr:rowOff>390525</xdr:rowOff>
                  </to>
                </anchor>
              </controlPr>
            </control>
          </mc:Choice>
        </mc:AlternateContent>
        <mc:AlternateContent xmlns:mc="http://schemas.openxmlformats.org/markup-compatibility/2006">
          <mc:Choice Requires="x14">
            <control shapeId="2063" r:id="rId15" name="Drop Down 15">
              <controlPr defaultSize="0" autoLine="0" autoPict="0" macro="[0]!Scroll">
                <anchor moveWithCells="1">
                  <from>
                    <xdr:col>2</xdr:col>
                    <xdr:colOff>333375</xdr:colOff>
                    <xdr:row>20</xdr:row>
                    <xdr:rowOff>123825</xdr:rowOff>
                  </from>
                  <to>
                    <xdr:col>3</xdr:col>
                    <xdr:colOff>809625</xdr:colOff>
                    <xdr:row>20</xdr:row>
                    <xdr:rowOff>390525</xdr:rowOff>
                  </to>
                </anchor>
              </controlPr>
            </control>
          </mc:Choice>
        </mc:AlternateContent>
        <mc:AlternateContent xmlns:mc="http://schemas.openxmlformats.org/markup-compatibility/2006">
          <mc:Choice Requires="x14">
            <control shapeId="2064" r:id="rId16" name="Drop Down 16">
              <controlPr defaultSize="0" autoLine="0" autoPict="0" macro="[0]!Scroll">
                <anchor moveWithCells="1">
                  <from>
                    <xdr:col>2</xdr:col>
                    <xdr:colOff>333375</xdr:colOff>
                    <xdr:row>21</xdr:row>
                    <xdr:rowOff>123825</xdr:rowOff>
                  </from>
                  <to>
                    <xdr:col>3</xdr:col>
                    <xdr:colOff>809625</xdr:colOff>
                    <xdr:row>21</xdr:row>
                    <xdr:rowOff>390525</xdr:rowOff>
                  </to>
                </anchor>
              </controlPr>
            </control>
          </mc:Choice>
        </mc:AlternateContent>
        <mc:AlternateContent xmlns:mc="http://schemas.openxmlformats.org/markup-compatibility/2006">
          <mc:Choice Requires="x14">
            <control shapeId="2065" r:id="rId17" name="Drop Down 17">
              <controlPr defaultSize="0" autoLine="0" autoPict="0" macro="[0]!Scroll">
                <anchor moveWithCells="1">
                  <from>
                    <xdr:col>2</xdr:col>
                    <xdr:colOff>333375</xdr:colOff>
                    <xdr:row>22</xdr:row>
                    <xdr:rowOff>123825</xdr:rowOff>
                  </from>
                  <to>
                    <xdr:col>3</xdr:col>
                    <xdr:colOff>809625</xdr:colOff>
                    <xdr:row>22</xdr:row>
                    <xdr:rowOff>390525</xdr:rowOff>
                  </to>
                </anchor>
              </controlPr>
            </control>
          </mc:Choice>
        </mc:AlternateContent>
        <mc:AlternateContent xmlns:mc="http://schemas.openxmlformats.org/markup-compatibility/2006">
          <mc:Choice Requires="x14">
            <control shapeId="2066" r:id="rId18" name="Drop Down 18">
              <controlPr defaultSize="0" autoLine="0" autoPict="0" macro="[0]!Scroll">
                <anchor moveWithCells="1">
                  <from>
                    <xdr:col>2</xdr:col>
                    <xdr:colOff>333375</xdr:colOff>
                    <xdr:row>23</xdr:row>
                    <xdr:rowOff>123825</xdr:rowOff>
                  </from>
                  <to>
                    <xdr:col>3</xdr:col>
                    <xdr:colOff>809625</xdr:colOff>
                    <xdr:row>23</xdr:row>
                    <xdr:rowOff>390525</xdr:rowOff>
                  </to>
                </anchor>
              </controlPr>
            </control>
          </mc:Choice>
        </mc:AlternateContent>
        <mc:AlternateContent xmlns:mc="http://schemas.openxmlformats.org/markup-compatibility/2006">
          <mc:Choice Requires="x14">
            <control shapeId="2067" r:id="rId19" name="Drop Down 19">
              <controlPr defaultSize="0" autoLine="0" autoPict="0" macro="[0]!Scroll">
                <anchor moveWithCells="1">
                  <from>
                    <xdr:col>2</xdr:col>
                    <xdr:colOff>333375</xdr:colOff>
                    <xdr:row>24</xdr:row>
                    <xdr:rowOff>123825</xdr:rowOff>
                  </from>
                  <to>
                    <xdr:col>3</xdr:col>
                    <xdr:colOff>809625</xdr:colOff>
                    <xdr:row>24</xdr:row>
                    <xdr:rowOff>390525</xdr:rowOff>
                  </to>
                </anchor>
              </controlPr>
            </control>
          </mc:Choice>
        </mc:AlternateContent>
        <mc:AlternateContent xmlns:mc="http://schemas.openxmlformats.org/markup-compatibility/2006">
          <mc:Choice Requires="x14">
            <control shapeId="2068" r:id="rId20" name="Drop Down 20">
              <controlPr defaultSize="0" autoLine="0" autoPict="0" macro="[0]!Scroll">
                <anchor moveWithCells="1">
                  <from>
                    <xdr:col>2</xdr:col>
                    <xdr:colOff>333375</xdr:colOff>
                    <xdr:row>25</xdr:row>
                    <xdr:rowOff>123825</xdr:rowOff>
                  </from>
                  <to>
                    <xdr:col>3</xdr:col>
                    <xdr:colOff>809625</xdr:colOff>
                    <xdr:row>25</xdr:row>
                    <xdr:rowOff>390525</xdr:rowOff>
                  </to>
                </anchor>
              </controlPr>
            </control>
          </mc:Choice>
        </mc:AlternateContent>
        <mc:AlternateContent xmlns:mc="http://schemas.openxmlformats.org/markup-compatibility/2006">
          <mc:Choice Requires="x14">
            <control shapeId="2069" r:id="rId21" name="Drop Down 21">
              <controlPr defaultSize="0" autoLine="0" autoPict="0" macro="[0]!Scroll">
                <anchor moveWithCells="1">
                  <from>
                    <xdr:col>2</xdr:col>
                    <xdr:colOff>333375</xdr:colOff>
                    <xdr:row>26</xdr:row>
                    <xdr:rowOff>123825</xdr:rowOff>
                  </from>
                  <to>
                    <xdr:col>3</xdr:col>
                    <xdr:colOff>809625</xdr:colOff>
                    <xdr:row>26</xdr:row>
                    <xdr:rowOff>390525</xdr:rowOff>
                  </to>
                </anchor>
              </controlPr>
            </control>
          </mc:Choice>
        </mc:AlternateContent>
        <mc:AlternateContent xmlns:mc="http://schemas.openxmlformats.org/markup-compatibility/2006">
          <mc:Choice Requires="x14">
            <control shapeId="2070" r:id="rId22" name="Drop Down 22">
              <controlPr defaultSize="0" autoLine="0" autoPict="0" macro="[0]!Scroll">
                <anchor moveWithCells="1">
                  <from>
                    <xdr:col>2</xdr:col>
                    <xdr:colOff>333375</xdr:colOff>
                    <xdr:row>27</xdr:row>
                    <xdr:rowOff>123825</xdr:rowOff>
                  </from>
                  <to>
                    <xdr:col>3</xdr:col>
                    <xdr:colOff>809625</xdr:colOff>
                    <xdr:row>27</xdr:row>
                    <xdr:rowOff>390525</xdr:rowOff>
                  </to>
                </anchor>
              </controlPr>
            </control>
          </mc:Choice>
        </mc:AlternateContent>
        <mc:AlternateContent xmlns:mc="http://schemas.openxmlformats.org/markup-compatibility/2006">
          <mc:Choice Requires="x14">
            <control shapeId="2071" r:id="rId23" name="Drop Down 23">
              <controlPr defaultSize="0" autoLine="0" autoPict="0" macro="[0]!Scroll">
                <anchor moveWithCells="1">
                  <from>
                    <xdr:col>2</xdr:col>
                    <xdr:colOff>333375</xdr:colOff>
                    <xdr:row>28</xdr:row>
                    <xdr:rowOff>123825</xdr:rowOff>
                  </from>
                  <to>
                    <xdr:col>3</xdr:col>
                    <xdr:colOff>809625</xdr:colOff>
                    <xdr:row>28</xdr:row>
                    <xdr:rowOff>390525</xdr:rowOff>
                  </to>
                </anchor>
              </controlPr>
            </control>
          </mc:Choice>
        </mc:AlternateContent>
        <mc:AlternateContent xmlns:mc="http://schemas.openxmlformats.org/markup-compatibility/2006">
          <mc:Choice Requires="x14">
            <control shapeId="2072" r:id="rId24" name="Drop Down 24">
              <controlPr defaultSize="0" autoLine="0" autoPict="0" macro="[0]!Scroll">
                <anchor moveWithCells="1">
                  <from>
                    <xdr:col>2</xdr:col>
                    <xdr:colOff>333375</xdr:colOff>
                    <xdr:row>29</xdr:row>
                    <xdr:rowOff>123825</xdr:rowOff>
                  </from>
                  <to>
                    <xdr:col>3</xdr:col>
                    <xdr:colOff>809625</xdr:colOff>
                    <xdr:row>29</xdr:row>
                    <xdr:rowOff>390525</xdr:rowOff>
                  </to>
                </anchor>
              </controlPr>
            </control>
          </mc:Choice>
        </mc:AlternateContent>
        <mc:AlternateContent xmlns:mc="http://schemas.openxmlformats.org/markup-compatibility/2006">
          <mc:Choice Requires="x14">
            <control shapeId="2073" r:id="rId25" name="Drop Down 25">
              <controlPr defaultSize="0" autoLine="0" autoPict="0" macro="[0]!Scroll">
                <anchor moveWithCells="1">
                  <from>
                    <xdr:col>2</xdr:col>
                    <xdr:colOff>333375</xdr:colOff>
                    <xdr:row>30</xdr:row>
                    <xdr:rowOff>123825</xdr:rowOff>
                  </from>
                  <to>
                    <xdr:col>3</xdr:col>
                    <xdr:colOff>809625</xdr:colOff>
                    <xdr:row>30</xdr:row>
                    <xdr:rowOff>390525</xdr:rowOff>
                  </to>
                </anchor>
              </controlPr>
            </control>
          </mc:Choice>
        </mc:AlternateContent>
        <mc:AlternateContent xmlns:mc="http://schemas.openxmlformats.org/markup-compatibility/2006">
          <mc:Choice Requires="x14">
            <control shapeId="2074" r:id="rId26" name="Drop Down 26">
              <controlPr defaultSize="0" autoLine="0" autoPict="0" macro="[0]!Scroll">
                <anchor moveWithCells="1">
                  <from>
                    <xdr:col>2</xdr:col>
                    <xdr:colOff>333375</xdr:colOff>
                    <xdr:row>31</xdr:row>
                    <xdr:rowOff>123825</xdr:rowOff>
                  </from>
                  <to>
                    <xdr:col>3</xdr:col>
                    <xdr:colOff>809625</xdr:colOff>
                    <xdr:row>31</xdr:row>
                    <xdr:rowOff>390525</xdr:rowOff>
                  </to>
                </anchor>
              </controlPr>
            </control>
          </mc:Choice>
        </mc:AlternateContent>
        <mc:AlternateContent xmlns:mc="http://schemas.openxmlformats.org/markup-compatibility/2006">
          <mc:Choice Requires="x14">
            <control shapeId="2075" r:id="rId27" name="Drop Down 27">
              <controlPr defaultSize="0" autoLine="0" autoPict="0" macro="[0]!Scroll">
                <anchor moveWithCells="1">
                  <from>
                    <xdr:col>2</xdr:col>
                    <xdr:colOff>333375</xdr:colOff>
                    <xdr:row>32</xdr:row>
                    <xdr:rowOff>123825</xdr:rowOff>
                  </from>
                  <to>
                    <xdr:col>3</xdr:col>
                    <xdr:colOff>809625</xdr:colOff>
                    <xdr:row>32</xdr:row>
                    <xdr:rowOff>390525</xdr:rowOff>
                  </to>
                </anchor>
              </controlPr>
            </control>
          </mc:Choice>
        </mc:AlternateContent>
        <mc:AlternateContent xmlns:mc="http://schemas.openxmlformats.org/markup-compatibility/2006">
          <mc:Choice Requires="x14">
            <control shapeId="2076" r:id="rId28" name="Drop Down 28">
              <controlPr defaultSize="0" autoLine="0" autoPict="0" macro="[0]!Scroll">
                <anchor moveWithCells="1">
                  <from>
                    <xdr:col>2</xdr:col>
                    <xdr:colOff>333375</xdr:colOff>
                    <xdr:row>33</xdr:row>
                    <xdr:rowOff>123825</xdr:rowOff>
                  </from>
                  <to>
                    <xdr:col>3</xdr:col>
                    <xdr:colOff>809625</xdr:colOff>
                    <xdr:row>33</xdr:row>
                    <xdr:rowOff>390525</xdr:rowOff>
                  </to>
                </anchor>
              </controlPr>
            </control>
          </mc:Choice>
        </mc:AlternateContent>
        <mc:AlternateContent xmlns:mc="http://schemas.openxmlformats.org/markup-compatibility/2006">
          <mc:Choice Requires="x14">
            <control shapeId="2077" r:id="rId29" name="Drop Down 29">
              <controlPr defaultSize="0" autoLine="0" autoPict="0" macro="[0]!Scroll2">
                <anchor moveWithCells="1">
                  <from>
                    <xdr:col>2</xdr:col>
                    <xdr:colOff>333375</xdr:colOff>
                    <xdr:row>34</xdr:row>
                    <xdr:rowOff>123825</xdr:rowOff>
                  </from>
                  <to>
                    <xdr:col>2</xdr:col>
                    <xdr:colOff>1057275</xdr:colOff>
                    <xdr:row>34</xdr:row>
                    <xdr:rowOff>390525</xdr:rowOff>
                  </to>
                </anchor>
              </controlPr>
            </control>
          </mc:Choice>
        </mc:AlternateContent>
        <mc:AlternateContent xmlns:mc="http://schemas.openxmlformats.org/markup-compatibility/2006">
          <mc:Choice Requires="x14">
            <control shapeId="2364" r:id="rId30" name="Button 316">
              <controlPr defaultSize="0" print="0" autoFill="0" autoPict="0" macro="[0]!Accueil">
                <anchor>
                  <from>
                    <xdr:col>2</xdr:col>
                    <xdr:colOff>257175</xdr:colOff>
                    <xdr:row>0</xdr:row>
                    <xdr:rowOff>76200</xdr:rowOff>
                  </from>
                  <to>
                    <xdr:col>2</xdr:col>
                    <xdr:colOff>2352675</xdr:colOff>
                    <xdr:row>1</xdr:row>
                    <xdr:rowOff>257175</xdr:rowOff>
                  </to>
                </anchor>
              </controlPr>
            </control>
          </mc:Choice>
        </mc:AlternateContent>
        <mc:AlternateContent xmlns:mc="http://schemas.openxmlformats.org/markup-compatibility/2006">
          <mc:Choice Requires="x14">
            <control shapeId="2792" r:id="rId31" name="Button 744">
              <controlPr defaultSize="0" print="0" autoFill="0" autoPict="0" macro="[0]!Facteurs">
                <anchor>
                  <from>
                    <xdr:col>1</xdr:col>
                    <xdr:colOff>2476500</xdr:colOff>
                    <xdr:row>37</xdr:row>
                    <xdr:rowOff>76200</xdr:rowOff>
                  </from>
                  <to>
                    <xdr:col>2</xdr:col>
                    <xdr:colOff>304800</xdr:colOff>
                    <xdr:row>39</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4"/>
  <dimension ref="A1:C105"/>
  <sheetViews>
    <sheetView showGridLines="0" showRowColHeaders="0" zoomScale="91" zoomScaleNormal="170" zoomScalePageLayoutView="140" workbookViewId="0">
      <pane ySplit="1" topLeftCell="A2" activePane="bottomLeft" state="frozen"/>
      <selection pane="bottomLeft"/>
    </sheetView>
  </sheetViews>
  <sheetFormatPr baseColWidth="10" defaultColWidth="11.28515625" defaultRowHeight="12.75"/>
  <cols>
    <col min="1" max="1" width="4" style="125" customWidth="1"/>
    <col min="2" max="2" width="88.85546875" style="125" customWidth="1"/>
    <col min="3" max="3" width="47" style="125" customWidth="1"/>
    <col min="4" max="16384" width="11.28515625" style="125"/>
  </cols>
  <sheetData>
    <row r="1" spans="1:3" ht="47.25" customHeight="1">
      <c r="A1" s="367"/>
      <c r="B1" s="152" t="s">
        <v>464</v>
      </c>
      <c r="C1" s="150"/>
    </row>
    <row r="2" spans="1:3" ht="15.75">
      <c r="A2" s="131"/>
      <c r="B2" s="133"/>
    </row>
    <row r="3" spans="1:3" ht="18.75" customHeight="1">
      <c r="A3" s="483" t="s">
        <v>351</v>
      </c>
      <c r="B3" s="490"/>
    </row>
    <row r="4" spans="1:3" ht="18.75" customHeight="1">
      <c r="B4" s="496" t="s">
        <v>474</v>
      </c>
    </row>
    <row r="5" spans="1:3" ht="18.75" customHeight="1">
      <c r="A5" s="149"/>
      <c r="B5" s="497"/>
    </row>
    <row r="6" spans="1:3" ht="22.5" customHeight="1">
      <c r="A6" s="149"/>
      <c r="B6" s="497"/>
    </row>
    <row r="7" spans="1:3" s="156" customFormat="1" ht="33.75" customHeight="1" thickBot="1">
      <c r="A7" s="136"/>
      <c r="B7" s="137" t="s">
        <v>465</v>
      </c>
      <c r="C7" s="135"/>
    </row>
    <row r="8" spans="1:3" ht="37.5" customHeight="1" thickBot="1">
      <c r="A8" s="150">
        <v>1</v>
      </c>
      <c r="B8" s="154" t="s">
        <v>475</v>
      </c>
    </row>
    <row r="9" spans="1:3" ht="37.5" customHeight="1" thickBot="1">
      <c r="A9" s="150">
        <v>2</v>
      </c>
      <c r="B9" s="154" t="s">
        <v>476</v>
      </c>
    </row>
    <row r="10" spans="1:3" ht="37.5" customHeight="1" thickBot="1">
      <c r="A10" s="150">
        <v>3</v>
      </c>
      <c r="B10" s="154" t="s">
        <v>477</v>
      </c>
    </row>
    <row r="11" spans="1:3" ht="37.5" customHeight="1" thickBot="1">
      <c r="A11" s="150">
        <v>4</v>
      </c>
      <c r="B11" s="154" t="s">
        <v>478</v>
      </c>
    </row>
    <row r="12" spans="1:3" ht="37.5" customHeight="1" thickBot="1">
      <c r="A12" s="150">
        <v>5</v>
      </c>
      <c r="B12" s="154" t="s">
        <v>479</v>
      </c>
    </row>
    <row r="13" spans="1:3" ht="37.5" customHeight="1" thickBot="1">
      <c r="A13" s="150">
        <v>6</v>
      </c>
      <c r="B13" s="154" t="s">
        <v>480</v>
      </c>
    </row>
    <row r="14" spans="1:3" s="156" customFormat="1" ht="33" customHeight="1" thickBot="1">
      <c r="A14" s="136"/>
      <c r="B14" s="137" t="s">
        <v>482</v>
      </c>
      <c r="C14" s="135"/>
    </row>
    <row r="15" spans="1:3" ht="37.5" customHeight="1" thickBot="1">
      <c r="A15" s="150">
        <v>7</v>
      </c>
      <c r="B15" s="154" t="s">
        <v>483</v>
      </c>
    </row>
    <row r="16" spans="1:3" ht="37.5" customHeight="1" thickBot="1">
      <c r="A16" s="150">
        <v>8</v>
      </c>
      <c r="B16" s="154" t="s">
        <v>484</v>
      </c>
    </row>
    <row r="17" spans="1:3" ht="37.5" customHeight="1" thickBot="1">
      <c r="A17" s="150">
        <v>9</v>
      </c>
      <c r="B17" s="154" t="s">
        <v>486</v>
      </c>
    </row>
    <row r="18" spans="1:3" ht="37.5" customHeight="1" thickBot="1">
      <c r="A18" s="150">
        <v>10</v>
      </c>
      <c r="B18" s="154" t="s">
        <v>487</v>
      </c>
    </row>
    <row r="19" spans="1:3" ht="37.5" customHeight="1" thickBot="1">
      <c r="A19" s="150">
        <v>11</v>
      </c>
      <c r="B19" s="154" t="s">
        <v>488</v>
      </c>
    </row>
    <row r="20" spans="1:3" ht="37.5" customHeight="1" thickBot="1">
      <c r="A20" s="150">
        <v>12</v>
      </c>
      <c r="B20" s="154" t="s">
        <v>489</v>
      </c>
    </row>
    <row r="21" spans="1:3" s="156" customFormat="1" ht="33.75" customHeight="1" thickBot="1">
      <c r="A21" s="136"/>
      <c r="B21" s="137" t="s">
        <v>490</v>
      </c>
      <c r="C21" s="135"/>
    </row>
    <row r="22" spans="1:3" ht="37.5" customHeight="1" thickBot="1">
      <c r="A22" s="150">
        <v>13</v>
      </c>
      <c r="B22" s="154" t="s">
        <v>491</v>
      </c>
    </row>
    <row r="23" spans="1:3" ht="37.5" customHeight="1" thickBot="1">
      <c r="A23" s="150">
        <v>14</v>
      </c>
      <c r="B23" s="154" t="s">
        <v>492</v>
      </c>
    </row>
    <row r="24" spans="1:3" ht="37.5" customHeight="1" thickBot="1">
      <c r="A24" s="150">
        <v>15</v>
      </c>
      <c r="B24" s="154" t="s">
        <v>493</v>
      </c>
    </row>
    <row r="25" spans="1:3" ht="37.5" customHeight="1" thickBot="1">
      <c r="A25" s="150">
        <v>16</v>
      </c>
      <c r="B25" s="154" t="s">
        <v>494</v>
      </c>
    </row>
    <row r="26" spans="1:3" ht="37.5" customHeight="1" thickBot="1">
      <c r="A26" s="150">
        <v>17</v>
      </c>
      <c r="B26" s="154" t="s">
        <v>495</v>
      </c>
    </row>
    <row r="27" spans="1:3" ht="37.5" customHeight="1" thickBot="1">
      <c r="A27" s="150">
        <v>18</v>
      </c>
      <c r="B27" s="154" t="s">
        <v>496</v>
      </c>
    </row>
    <row r="28" spans="1:3" s="156" customFormat="1" ht="33.75" customHeight="1" thickBot="1">
      <c r="A28" s="136"/>
      <c r="B28" s="137" t="s">
        <v>497</v>
      </c>
      <c r="C28" s="135"/>
    </row>
    <row r="29" spans="1:3" ht="37.5" customHeight="1" thickBot="1">
      <c r="A29" s="150">
        <v>19</v>
      </c>
      <c r="B29" s="154" t="s">
        <v>638</v>
      </c>
    </row>
    <row r="30" spans="1:3" ht="37.5" customHeight="1" thickBot="1">
      <c r="A30" s="150">
        <v>20</v>
      </c>
      <c r="B30" s="155" t="s">
        <v>636</v>
      </c>
    </row>
    <row r="31" spans="1:3" ht="37.5" customHeight="1" thickBot="1">
      <c r="A31" s="150">
        <v>21</v>
      </c>
      <c r="B31" s="154" t="s">
        <v>640</v>
      </c>
    </row>
    <row r="32" spans="1:3" ht="37.5" customHeight="1" thickBot="1">
      <c r="A32" s="150">
        <v>22</v>
      </c>
      <c r="B32" s="155" t="s">
        <v>637</v>
      </c>
    </row>
    <row r="33" spans="1:3" ht="37.5" customHeight="1" thickBot="1">
      <c r="A33" s="150">
        <v>23</v>
      </c>
      <c r="B33" s="154" t="s">
        <v>639</v>
      </c>
    </row>
    <row r="34" spans="1:3" ht="37.5" customHeight="1" thickBot="1">
      <c r="A34" s="150">
        <v>24</v>
      </c>
      <c r="B34" s="155" t="s">
        <v>641</v>
      </c>
    </row>
    <row r="35" spans="1:3" s="156" customFormat="1" ht="33.75" customHeight="1" thickBot="1">
      <c r="A35" s="136"/>
      <c r="B35" s="137" t="s">
        <v>432</v>
      </c>
      <c r="C35" s="135"/>
    </row>
    <row r="36" spans="1:3" ht="37.5" customHeight="1" thickBot="1">
      <c r="A36" s="150">
        <v>25</v>
      </c>
      <c r="B36" s="154" t="s">
        <v>498</v>
      </c>
    </row>
    <row r="37" spans="1:3" ht="37.5" customHeight="1" thickBot="1">
      <c r="A37" s="150">
        <v>26</v>
      </c>
      <c r="B37" s="154" t="s">
        <v>499</v>
      </c>
    </row>
    <row r="38" spans="1:3" ht="37.5" customHeight="1" thickBot="1">
      <c r="A38" s="150">
        <v>27</v>
      </c>
      <c r="B38" s="154" t="s">
        <v>500</v>
      </c>
    </row>
    <row r="39" spans="1:3" ht="37.5" customHeight="1" thickBot="1">
      <c r="A39" s="150">
        <v>28</v>
      </c>
      <c r="B39" s="154" t="s">
        <v>501</v>
      </c>
    </row>
    <row r="40" spans="1:3" ht="37.5" customHeight="1" thickBot="1">
      <c r="A40" s="150">
        <v>29</v>
      </c>
      <c r="B40" s="154" t="s">
        <v>572</v>
      </c>
    </row>
    <row r="41" spans="1:3" ht="37.5" customHeight="1" thickBot="1">
      <c r="A41" s="150">
        <v>30</v>
      </c>
      <c r="B41" s="154" t="s">
        <v>502</v>
      </c>
    </row>
    <row r="42" spans="1:3" s="156" customFormat="1" ht="33.75" customHeight="1" thickBot="1">
      <c r="A42" s="136"/>
      <c r="B42" s="137" t="s">
        <v>509</v>
      </c>
      <c r="C42" s="135"/>
    </row>
    <row r="43" spans="1:3" ht="37.5" customHeight="1" thickBot="1">
      <c r="A43" s="150">
        <v>31</v>
      </c>
      <c r="B43" s="154" t="s">
        <v>503</v>
      </c>
    </row>
    <row r="44" spans="1:3" ht="37.5" customHeight="1" thickBot="1">
      <c r="A44" s="150">
        <v>32</v>
      </c>
      <c r="B44" s="154" t="s">
        <v>504</v>
      </c>
    </row>
    <row r="45" spans="1:3" ht="37.5" customHeight="1" thickBot="1">
      <c r="A45" s="150">
        <v>33</v>
      </c>
      <c r="B45" s="154" t="s">
        <v>505</v>
      </c>
    </row>
    <row r="46" spans="1:3" ht="37.5" customHeight="1" thickBot="1">
      <c r="A46" s="150">
        <v>34</v>
      </c>
      <c r="B46" s="154" t="s">
        <v>573</v>
      </c>
    </row>
    <row r="47" spans="1:3" ht="37.5" customHeight="1" thickBot="1">
      <c r="A47" s="150">
        <v>35</v>
      </c>
      <c r="B47" s="154" t="s">
        <v>506</v>
      </c>
    </row>
    <row r="48" spans="1:3" ht="37.5" customHeight="1" thickBot="1">
      <c r="A48" s="150">
        <v>36</v>
      </c>
      <c r="B48" s="154" t="s">
        <v>507</v>
      </c>
    </row>
    <row r="49" spans="1:3" s="156" customFormat="1" ht="33.75" customHeight="1" thickBot="1">
      <c r="A49" s="136"/>
      <c r="B49" s="137" t="s">
        <v>508</v>
      </c>
      <c r="C49" s="135"/>
    </row>
    <row r="50" spans="1:3" ht="37.5" customHeight="1" thickBot="1">
      <c r="A50" s="150">
        <v>37</v>
      </c>
      <c r="B50" s="154" t="s">
        <v>510</v>
      </c>
    </row>
    <row r="51" spans="1:3" ht="37.5" customHeight="1" thickBot="1">
      <c r="A51" s="150">
        <v>38</v>
      </c>
      <c r="B51" s="154" t="s">
        <v>511</v>
      </c>
    </row>
    <row r="52" spans="1:3" ht="37.5" customHeight="1" thickBot="1">
      <c r="A52" s="150">
        <v>39</v>
      </c>
      <c r="B52" s="154" t="s">
        <v>512</v>
      </c>
    </row>
    <row r="53" spans="1:3" ht="37.5" customHeight="1" thickBot="1">
      <c r="A53" s="150">
        <v>40</v>
      </c>
      <c r="B53" s="154" t="s">
        <v>513</v>
      </c>
    </row>
    <row r="54" spans="1:3" ht="37.5" customHeight="1" thickBot="1">
      <c r="A54" s="150">
        <v>41</v>
      </c>
      <c r="B54" s="154" t="s">
        <v>514</v>
      </c>
    </row>
    <row r="55" spans="1:3" ht="37.5" customHeight="1" thickBot="1">
      <c r="A55" s="150">
        <v>42</v>
      </c>
      <c r="B55" s="154" t="s">
        <v>515</v>
      </c>
    </row>
    <row r="56" spans="1:3" s="156" customFormat="1" ht="33.75" customHeight="1" thickBot="1">
      <c r="A56" s="136"/>
      <c r="B56" s="137" t="s">
        <v>470</v>
      </c>
      <c r="C56" s="135"/>
    </row>
    <row r="57" spans="1:3" ht="37.5" customHeight="1" thickBot="1">
      <c r="A57" s="150">
        <v>43</v>
      </c>
      <c r="B57" s="154" t="s">
        <v>516</v>
      </c>
    </row>
    <row r="58" spans="1:3" ht="37.5" customHeight="1" thickBot="1">
      <c r="A58" s="150">
        <v>44</v>
      </c>
      <c r="B58" s="154" t="s">
        <v>517</v>
      </c>
    </row>
    <row r="59" spans="1:3" ht="37.5" customHeight="1" thickBot="1">
      <c r="A59" s="150">
        <v>45</v>
      </c>
      <c r="B59" s="154" t="s">
        <v>518</v>
      </c>
    </row>
    <row r="60" spans="1:3" ht="37.5" customHeight="1" thickBot="1">
      <c r="A60" s="150">
        <v>46</v>
      </c>
      <c r="B60" s="154" t="s">
        <v>519</v>
      </c>
    </row>
    <row r="61" spans="1:3" ht="37.5" customHeight="1" thickBot="1">
      <c r="A61" s="150">
        <v>47</v>
      </c>
      <c r="B61" s="154" t="s">
        <v>520</v>
      </c>
    </row>
    <row r="62" spans="1:3" ht="37.5" customHeight="1" thickBot="1">
      <c r="A62" s="150">
        <v>48</v>
      </c>
      <c r="B62" s="154" t="s">
        <v>521</v>
      </c>
    </row>
    <row r="63" spans="1:3" s="156" customFormat="1" ht="33.75" customHeight="1" thickBot="1">
      <c r="A63" s="136"/>
      <c r="B63" s="137" t="s">
        <v>471</v>
      </c>
      <c r="C63" s="135"/>
    </row>
    <row r="64" spans="1:3" ht="37.5" customHeight="1" thickBot="1">
      <c r="A64" s="150">
        <v>49</v>
      </c>
      <c r="B64" s="154" t="s">
        <v>522</v>
      </c>
    </row>
    <row r="65" spans="1:3" ht="37.5" customHeight="1" thickBot="1">
      <c r="A65" s="150">
        <v>50</v>
      </c>
      <c r="B65" s="154" t="s">
        <v>523</v>
      </c>
    </row>
    <row r="66" spans="1:3" ht="37.5" customHeight="1" thickBot="1">
      <c r="A66" s="150">
        <v>51</v>
      </c>
      <c r="B66" s="154" t="s">
        <v>574</v>
      </c>
    </row>
    <row r="67" spans="1:3" ht="37.5" customHeight="1" thickBot="1">
      <c r="A67" s="150">
        <v>52</v>
      </c>
      <c r="B67" s="154" t="s">
        <v>524</v>
      </c>
    </row>
    <row r="68" spans="1:3" ht="37.5" customHeight="1" thickBot="1">
      <c r="A68" s="150">
        <v>53</v>
      </c>
      <c r="B68" s="154" t="s">
        <v>525</v>
      </c>
    </row>
    <row r="69" spans="1:3" ht="37.5" customHeight="1" thickBot="1">
      <c r="A69" s="150">
        <v>54</v>
      </c>
      <c r="B69" s="154" t="s">
        <v>526</v>
      </c>
    </row>
    <row r="70" spans="1:3" s="156" customFormat="1" ht="33.75" customHeight="1" thickBot="1">
      <c r="A70" s="136"/>
      <c r="B70" s="137" t="s">
        <v>642</v>
      </c>
      <c r="C70" s="135"/>
    </row>
    <row r="71" spans="1:3" ht="37.5" customHeight="1" thickBot="1">
      <c r="A71" s="150">
        <v>55</v>
      </c>
      <c r="B71" s="154" t="s">
        <v>528</v>
      </c>
    </row>
    <row r="72" spans="1:3" ht="37.5" customHeight="1" thickBot="1">
      <c r="A72" s="150">
        <v>56</v>
      </c>
      <c r="B72" s="154" t="s">
        <v>529</v>
      </c>
    </row>
    <row r="73" spans="1:3" ht="37.5" customHeight="1" thickBot="1">
      <c r="A73" s="150">
        <v>57</v>
      </c>
      <c r="B73" s="154" t="s">
        <v>530</v>
      </c>
    </row>
    <row r="74" spans="1:3" ht="37.5" customHeight="1" thickBot="1">
      <c r="A74" s="150">
        <v>58</v>
      </c>
      <c r="B74" s="154" t="s">
        <v>531</v>
      </c>
    </row>
    <row r="75" spans="1:3" ht="37.5" customHeight="1" thickBot="1">
      <c r="A75" s="150">
        <v>59</v>
      </c>
      <c r="B75" s="154" t="s">
        <v>643</v>
      </c>
    </row>
    <row r="76" spans="1:3" ht="37.5" customHeight="1" thickBot="1">
      <c r="A76" s="150">
        <v>60</v>
      </c>
      <c r="B76" s="154" t="s">
        <v>644</v>
      </c>
    </row>
    <row r="77" spans="1:3" s="156" customFormat="1" ht="33.75" customHeight="1" thickBot="1">
      <c r="A77" s="136"/>
      <c r="B77" s="137" t="s">
        <v>532</v>
      </c>
      <c r="C77" s="135"/>
    </row>
    <row r="78" spans="1:3" ht="37.5" customHeight="1" thickBot="1">
      <c r="A78" s="150">
        <v>61</v>
      </c>
      <c r="B78" s="154" t="s">
        <v>533</v>
      </c>
    </row>
    <row r="79" spans="1:3" ht="37.5" customHeight="1" thickBot="1">
      <c r="A79" s="150">
        <v>62</v>
      </c>
      <c r="B79" s="154" t="s">
        <v>534</v>
      </c>
    </row>
    <row r="80" spans="1:3" ht="37.5" customHeight="1" thickBot="1">
      <c r="A80" s="150">
        <v>63</v>
      </c>
      <c r="B80" s="154" t="s">
        <v>645</v>
      </c>
    </row>
    <row r="81" spans="1:3" ht="37.5" customHeight="1" thickBot="1">
      <c r="A81" s="150">
        <v>64</v>
      </c>
      <c r="B81" s="154" t="s">
        <v>646</v>
      </c>
    </row>
    <row r="82" spans="1:3" ht="37.5" customHeight="1" thickBot="1">
      <c r="A82" s="150">
        <v>65</v>
      </c>
      <c r="B82" s="154" t="s">
        <v>535</v>
      </c>
    </row>
    <row r="83" spans="1:3" ht="37.5" customHeight="1" thickBot="1">
      <c r="A83" s="150">
        <v>66</v>
      </c>
      <c r="B83" s="154" t="s">
        <v>647</v>
      </c>
    </row>
    <row r="84" spans="1:3" s="156" customFormat="1" ht="33.75" customHeight="1" thickBot="1">
      <c r="A84" s="136"/>
      <c r="B84" s="137" t="s">
        <v>536</v>
      </c>
      <c r="C84" s="135"/>
    </row>
    <row r="85" spans="1:3" ht="37.5" customHeight="1" thickBot="1">
      <c r="A85" s="150">
        <v>67</v>
      </c>
      <c r="B85" s="154" t="s">
        <v>538</v>
      </c>
    </row>
    <row r="86" spans="1:3" ht="37.5" customHeight="1" thickBot="1">
      <c r="A86" s="150">
        <v>68</v>
      </c>
      <c r="B86" s="154" t="s">
        <v>537</v>
      </c>
    </row>
    <row r="87" spans="1:3" ht="37.5" customHeight="1" thickBot="1">
      <c r="A87" s="150">
        <v>69</v>
      </c>
      <c r="B87" s="154" t="s">
        <v>539</v>
      </c>
    </row>
    <row r="88" spans="1:3" ht="37.5" customHeight="1" thickBot="1">
      <c r="A88" s="150">
        <v>70</v>
      </c>
      <c r="B88" s="154" t="s">
        <v>540</v>
      </c>
    </row>
    <row r="89" spans="1:3" ht="37.5" customHeight="1" thickBot="1">
      <c r="A89" s="150">
        <v>71</v>
      </c>
      <c r="B89" s="154" t="s">
        <v>541</v>
      </c>
    </row>
    <row r="90" spans="1:3" ht="37.5" customHeight="1" thickBot="1">
      <c r="A90" s="150">
        <v>72</v>
      </c>
      <c r="B90" s="154" t="s">
        <v>542</v>
      </c>
    </row>
    <row r="91" spans="1:3" s="156" customFormat="1" ht="33.75" customHeight="1" thickBot="1">
      <c r="A91" s="136"/>
      <c r="B91" s="137" t="s">
        <v>543</v>
      </c>
      <c r="C91" s="135"/>
    </row>
    <row r="92" spans="1:3" ht="37.5" customHeight="1" thickBot="1">
      <c r="A92" s="150">
        <v>73</v>
      </c>
      <c r="B92" s="154" t="s">
        <v>544</v>
      </c>
    </row>
    <row r="93" spans="1:3" ht="37.5" customHeight="1" thickBot="1">
      <c r="A93" s="150">
        <v>74</v>
      </c>
      <c r="B93" s="154" t="s">
        <v>545</v>
      </c>
    </row>
    <row r="94" spans="1:3" ht="37.5" customHeight="1" thickBot="1">
      <c r="A94" s="150">
        <v>75</v>
      </c>
      <c r="B94" s="154" t="s">
        <v>546</v>
      </c>
    </row>
    <row r="95" spans="1:3" ht="37.5" customHeight="1" thickBot="1">
      <c r="A95" s="150">
        <v>76</v>
      </c>
      <c r="B95" s="154" t="s">
        <v>577</v>
      </c>
    </row>
    <row r="96" spans="1:3" ht="37.5" customHeight="1" thickBot="1">
      <c r="A96" s="150">
        <v>77</v>
      </c>
      <c r="B96" s="154" t="s">
        <v>547</v>
      </c>
    </row>
    <row r="97" spans="1:3" ht="37.5" customHeight="1" thickBot="1">
      <c r="A97" s="150">
        <v>78</v>
      </c>
      <c r="B97" s="154" t="s">
        <v>548</v>
      </c>
    </row>
    <row r="98" spans="1:3" s="156" customFormat="1" ht="33.75" customHeight="1" thickBot="1">
      <c r="A98" s="136"/>
      <c r="B98" s="137" t="s">
        <v>549</v>
      </c>
      <c r="C98" s="135"/>
    </row>
    <row r="99" spans="1:3" ht="37.5" customHeight="1" thickBot="1">
      <c r="A99" s="150">
        <v>79</v>
      </c>
      <c r="B99" s="154" t="s">
        <v>550</v>
      </c>
    </row>
    <row r="100" spans="1:3" ht="37.5" customHeight="1" thickBot="1">
      <c r="A100" s="150">
        <v>80</v>
      </c>
      <c r="B100" s="154" t="s">
        <v>551</v>
      </c>
    </row>
    <row r="101" spans="1:3" ht="37.5" customHeight="1" thickBot="1">
      <c r="A101" s="150">
        <v>81</v>
      </c>
      <c r="B101" s="154" t="s">
        <v>552</v>
      </c>
    </row>
    <row r="102" spans="1:3" ht="37.5" customHeight="1" thickBot="1">
      <c r="A102" s="150">
        <v>82</v>
      </c>
      <c r="B102" s="154" t="s">
        <v>553</v>
      </c>
    </row>
    <row r="103" spans="1:3" ht="37.5" customHeight="1" thickBot="1">
      <c r="A103" s="150">
        <v>83</v>
      </c>
      <c r="B103" s="154" t="s">
        <v>554</v>
      </c>
    </row>
    <row r="104" spans="1:3" ht="37.5" customHeight="1" thickBot="1">
      <c r="A104" s="150">
        <v>84</v>
      </c>
      <c r="B104" s="154" t="s">
        <v>555</v>
      </c>
    </row>
    <row r="105" spans="1:3" s="128" customFormat="1" ht="23.25" customHeight="1">
      <c r="B105" s="134"/>
    </row>
  </sheetData>
  <sheetProtection selectLockedCells="1" selectUnlockedCells="1"/>
  <mergeCells count="2">
    <mergeCell ref="A3:B3"/>
    <mergeCell ref="B4:B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45877" r:id="rId3" name="Drop Down 85">
              <controlPr defaultSize="0" autoLine="0" autoPict="0" macro="[0]!Scroll">
                <anchor moveWithCells="1">
                  <from>
                    <xdr:col>2</xdr:col>
                    <xdr:colOff>190500</xdr:colOff>
                    <xdr:row>7</xdr:row>
                    <xdr:rowOff>76200</xdr:rowOff>
                  </from>
                  <to>
                    <xdr:col>2</xdr:col>
                    <xdr:colOff>3429000</xdr:colOff>
                    <xdr:row>7</xdr:row>
                    <xdr:rowOff>333375</xdr:rowOff>
                  </to>
                </anchor>
              </controlPr>
            </control>
          </mc:Choice>
        </mc:AlternateContent>
        <mc:AlternateContent xmlns:mc="http://schemas.openxmlformats.org/markup-compatibility/2006">
          <mc:Choice Requires="x14">
            <control shapeId="545878" r:id="rId4" name="Drop Down 86">
              <controlPr defaultSize="0" autoLine="0" autoPict="0" macro="[0]!Scroll">
                <anchor moveWithCells="1">
                  <from>
                    <xdr:col>2</xdr:col>
                    <xdr:colOff>190500</xdr:colOff>
                    <xdr:row>8</xdr:row>
                    <xdr:rowOff>76200</xdr:rowOff>
                  </from>
                  <to>
                    <xdr:col>2</xdr:col>
                    <xdr:colOff>3429000</xdr:colOff>
                    <xdr:row>8</xdr:row>
                    <xdr:rowOff>333375</xdr:rowOff>
                  </to>
                </anchor>
              </controlPr>
            </control>
          </mc:Choice>
        </mc:AlternateContent>
        <mc:AlternateContent xmlns:mc="http://schemas.openxmlformats.org/markup-compatibility/2006">
          <mc:Choice Requires="x14">
            <control shapeId="545879" r:id="rId5" name="Drop Down 87">
              <controlPr defaultSize="0" autoLine="0" autoPict="0" macro="[0]!Scroll">
                <anchor moveWithCells="1">
                  <from>
                    <xdr:col>2</xdr:col>
                    <xdr:colOff>190500</xdr:colOff>
                    <xdr:row>9</xdr:row>
                    <xdr:rowOff>76200</xdr:rowOff>
                  </from>
                  <to>
                    <xdr:col>2</xdr:col>
                    <xdr:colOff>3429000</xdr:colOff>
                    <xdr:row>9</xdr:row>
                    <xdr:rowOff>333375</xdr:rowOff>
                  </to>
                </anchor>
              </controlPr>
            </control>
          </mc:Choice>
        </mc:AlternateContent>
        <mc:AlternateContent xmlns:mc="http://schemas.openxmlformats.org/markup-compatibility/2006">
          <mc:Choice Requires="x14">
            <control shapeId="545880" r:id="rId6" name="Drop Down 88">
              <controlPr defaultSize="0" autoLine="0" autoPict="0" macro="[0]!Scroll">
                <anchor moveWithCells="1">
                  <from>
                    <xdr:col>2</xdr:col>
                    <xdr:colOff>190500</xdr:colOff>
                    <xdr:row>10</xdr:row>
                    <xdr:rowOff>76200</xdr:rowOff>
                  </from>
                  <to>
                    <xdr:col>2</xdr:col>
                    <xdr:colOff>3429000</xdr:colOff>
                    <xdr:row>10</xdr:row>
                    <xdr:rowOff>333375</xdr:rowOff>
                  </to>
                </anchor>
              </controlPr>
            </control>
          </mc:Choice>
        </mc:AlternateContent>
        <mc:AlternateContent xmlns:mc="http://schemas.openxmlformats.org/markup-compatibility/2006">
          <mc:Choice Requires="x14">
            <control shapeId="545881" r:id="rId7" name="Drop Down 89">
              <controlPr defaultSize="0" autoLine="0" autoPict="0" macro="[0]!Scroll">
                <anchor moveWithCells="1">
                  <from>
                    <xdr:col>2</xdr:col>
                    <xdr:colOff>190500</xdr:colOff>
                    <xdr:row>11</xdr:row>
                    <xdr:rowOff>76200</xdr:rowOff>
                  </from>
                  <to>
                    <xdr:col>2</xdr:col>
                    <xdr:colOff>3429000</xdr:colOff>
                    <xdr:row>11</xdr:row>
                    <xdr:rowOff>333375</xdr:rowOff>
                  </to>
                </anchor>
              </controlPr>
            </control>
          </mc:Choice>
        </mc:AlternateContent>
        <mc:AlternateContent xmlns:mc="http://schemas.openxmlformats.org/markup-compatibility/2006">
          <mc:Choice Requires="x14">
            <control shapeId="545882" r:id="rId8" name="Drop Down 90">
              <controlPr defaultSize="0" autoLine="0" autoPict="0" macro="[0]!Scroll2">
                <anchor moveWithCells="1">
                  <from>
                    <xdr:col>2</xdr:col>
                    <xdr:colOff>190500</xdr:colOff>
                    <xdr:row>12</xdr:row>
                    <xdr:rowOff>76200</xdr:rowOff>
                  </from>
                  <to>
                    <xdr:col>2</xdr:col>
                    <xdr:colOff>3429000</xdr:colOff>
                    <xdr:row>12</xdr:row>
                    <xdr:rowOff>333375</xdr:rowOff>
                  </to>
                </anchor>
              </controlPr>
            </control>
          </mc:Choice>
        </mc:AlternateContent>
        <mc:AlternateContent xmlns:mc="http://schemas.openxmlformats.org/markup-compatibility/2006">
          <mc:Choice Requires="x14">
            <control shapeId="545883" r:id="rId9" name="Drop Down 91">
              <controlPr defaultSize="0" autoLine="0" autoPict="0" macro="[0]!Scroll">
                <anchor moveWithCells="1">
                  <from>
                    <xdr:col>2</xdr:col>
                    <xdr:colOff>190500</xdr:colOff>
                    <xdr:row>14</xdr:row>
                    <xdr:rowOff>76200</xdr:rowOff>
                  </from>
                  <to>
                    <xdr:col>2</xdr:col>
                    <xdr:colOff>3429000</xdr:colOff>
                    <xdr:row>14</xdr:row>
                    <xdr:rowOff>333375</xdr:rowOff>
                  </to>
                </anchor>
              </controlPr>
            </control>
          </mc:Choice>
        </mc:AlternateContent>
        <mc:AlternateContent xmlns:mc="http://schemas.openxmlformats.org/markup-compatibility/2006">
          <mc:Choice Requires="x14">
            <control shapeId="545884" r:id="rId10" name="Drop Down 92">
              <controlPr defaultSize="0" autoLine="0" autoPict="0" macro="[0]!Scroll">
                <anchor moveWithCells="1">
                  <from>
                    <xdr:col>2</xdr:col>
                    <xdr:colOff>190500</xdr:colOff>
                    <xdr:row>15</xdr:row>
                    <xdr:rowOff>76200</xdr:rowOff>
                  </from>
                  <to>
                    <xdr:col>2</xdr:col>
                    <xdr:colOff>3429000</xdr:colOff>
                    <xdr:row>15</xdr:row>
                    <xdr:rowOff>333375</xdr:rowOff>
                  </to>
                </anchor>
              </controlPr>
            </control>
          </mc:Choice>
        </mc:AlternateContent>
        <mc:AlternateContent xmlns:mc="http://schemas.openxmlformats.org/markup-compatibility/2006">
          <mc:Choice Requires="x14">
            <control shapeId="545885" r:id="rId11" name="Drop Down 93">
              <controlPr defaultSize="0" autoLine="0" autoPict="0" macro="[0]!Scroll">
                <anchor moveWithCells="1">
                  <from>
                    <xdr:col>2</xdr:col>
                    <xdr:colOff>190500</xdr:colOff>
                    <xdr:row>16</xdr:row>
                    <xdr:rowOff>76200</xdr:rowOff>
                  </from>
                  <to>
                    <xdr:col>2</xdr:col>
                    <xdr:colOff>3429000</xdr:colOff>
                    <xdr:row>16</xdr:row>
                    <xdr:rowOff>333375</xdr:rowOff>
                  </to>
                </anchor>
              </controlPr>
            </control>
          </mc:Choice>
        </mc:AlternateContent>
        <mc:AlternateContent xmlns:mc="http://schemas.openxmlformats.org/markup-compatibility/2006">
          <mc:Choice Requires="x14">
            <control shapeId="545886" r:id="rId12" name="Drop Down 94">
              <controlPr defaultSize="0" autoLine="0" autoPict="0" macro="[0]!Scroll">
                <anchor moveWithCells="1">
                  <from>
                    <xdr:col>2</xdr:col>
                    <xdr:colOff>190500</xdr:colOff>
                    <xdr:row>17</xdr:row>
                    <xdr:rowOff>76200</xdr:rowOff>
                  </from>
                  <to>
                    <xdr:col>2</xdr:col>
                    <xdr:colOff>3429000</xdr:colOff>
                    <xdr:row>17</xdr:row>
                    <xdr:rowOff>333375</xdr:rowOff>
                  </to>
                </anchor>
              </controlPr>
            </control>
          </mc:Choice>
        </mc:AlternateContent>
        <mc:AlternateContent xmlns:mc="http://schemas.openxmlformats.org/markup-compatibility/2006">
          <mc:Choice Requires="x14">
            <control shapeId="545887" r:id="rId13" name="Drop Down 95">
              <controlPr defaultSize="0" autoLine="0" autoPict="0" macro="[0]!Scroll">
                <anchor moveWithCells="1">
                  <from>
                    <xdr:col>2</xdr:col>
                    <xdr:colOff>190500</xdr:colOff>
                    <xdr:row>18</xdr:row>
                    <xdr:rowOff>76200</xdr:rowOff>
                  </from>
                  <to>
                    <xdr:col>2</xdr:col>
                    <xdr:colOff>3429000</xdr:colOff>
                    <xdr:row>18</xdr:row>
                    <xdr:rowOff>333375</xdr:rowOff>
                  </to>
                </anchor>
              </controlPr>
            </control>
          </mc:Choice>
        </mc:AlternateContent>
        <mc:AlternateContent xmlns:mc="http://schemas.openxmlformats.org/markup-compatibility/2006">
          <mc:Choice Requires="x14">
            <control shapeId="545888" r:id="rId14" name="Drop Down 96">
              <controlPr defaultSize="0" autoLine="0" autoPict="0" macro="[0]!Scroll2">
                <anchor moveWithCells="1">
                  <from>
                    <xdr:col>2</xdr:col>
                    <xdr:colOff>190500</xdr:colOff>
                    <xdr:row>19</xdr:row>
                    <xdr:rowOff>76200</xdr:rowOff>
                  </from>
                  <to>
                    <xdr:col>2</xdr:col>
                    <xdr:colOff>3429000</xdr:colOff>
                    <xdr:row>19</xdr:row>
                    <xdr:rowOff>333375</xdr:rowOff>
                  </to>
                </anchor>
              </controlPr>
            </control>
          </mc:Choice>
        </mc:AlternateContent>
        <mc:AlternateContent xmlns:mc="http://schemas.openxmlformats.org/markup-compatibility/2006">
          <mc:Choice Requires="x14">
            <control shapeId="545889" r:id="rId15" name="Drop Down 97">
              <controlPr defaultSize="0" autoLine="0" autoPict="0" macro="[0]!Scroll">
                <anchor moveWithCells="1">
                  <from>
                    <xdr:col>2</xdr:col>
                    <xdr:colOff>190500</xdr:colOff>
                    <xdr:row>21</xdr:row>
                    <xdr:rowOff>76200</xdr:rowOff>
                  </from>
                  <to>
                    <xdr:col>2</xdr:col>
                    <xdr:colOff>3429000</xdr:colOff>
                    <xdr:row>21</xdr:row>
                    <xdr:rowOff>333375</xdr:rowOff>
                  </to>
                </anchor>
              </controlPr>
            </control>
          </mc:Choice>
        </mc:AlternateContent>
        <mc:AlternateContent xmlns:mc="http://schemas.openxmlformats.org/markup-compatibility/2006">
          <mc:Choice Requires="x14">
            <control shapeId="545890" r:id="rId16" name="Drop Down 98">
              <controlPr defaultSize="0" autoLine="0" autoPict="0" macro="[0]!Scroll">
                <anchor moveWithCells="1">
                  <from>
                    <xdr:col>2</xdr:col>
                    <xdr:colOff>190500</xdr:colOff>
                    <xdr:row>22</xdr:row>
                    <xdr:rowOff>76200</xdr:rowOff>
                  </from>
                  <to>
                    <xdr:col>2</xdr:col>
                    <xdr:colOff>3429000</xdr:colOff>
                    <xdr:row>22</xdr:row>
                    <xdr:rowOff>333375</xdr:rowOff>
                  </to>
                </anchor>
              </controlPr>
            </control>
          </mc:Choice>
        </mc:AlternateContent>
        <mc:AlternateContent xmlns:mc="http://schemas.openxmlformats.org/markup-compatibility/2006">
          <mc:Choice Requires="x14">
            <control shapeId="545891" r:id="rId17" name="Drop Down 99">
              <controlPr defaultSize="0" autoLine="0" autoPict="0" macro="[0]!Scroll">
                <anchor moveWithCells="1">
                  <from>
                    <xdr:col>2</xdr:col>
                    <xdr:colOff>190500</xdr:colOff>
                    <xdr:row>23</xdr:row>
                    <xdr:rowOff>76200</xdr:rowOff>
                  </from>
                  <to>
                    <xdr:col>2</xdr:col>
                    <xdr:colOff>3429000</xdr:colOff>
                    <xdr:row>23</xdr:row>
                    <xdr:rowOff>333375</xdr:rowOff>
                  </to>
                </anchor>
              </controlPr>
            </control>
          </mc:Choice>
        </mc:AlternateContent>
        <mc:AlternateContent xmlns:mc="http://schemas.openxmlformats.org/markup-compatibility/2006">
          <mc:Choice Requires="x14">
            <control shapeId="545892" r:id="rId18" name="Drop Down 100">
              <controlPr defaultSize="0" autoLine="0" autoPict="0" macro="[0]!Scroll">
                <anchor moveWithCells="1">
                  <from>
                    <xdr:col>2</xdr:col>
                    <xdr:colOff>190500</xdr:colOff>
                    <xdr:row>24</xdr:row>
                    <xdr:rowOff>76200</xdr:rowOff>
                  </from>
                  <to>
                    <xdr:col>2</xdr:col>
                    <xdr:colOff>3429000</xdr:colOff>
                    <xdr:row>24</xdr:row>
                    <xdr:rowOff>333375</xdr:rowOff>
                  </to>
                </anchor>
              </controlPr>
            </control>
          </mc:Choice>
        </mc:AlternateContent>
        <mc:AlternateContent xmlns:mc="http://schemas.openxmlformats.org/markup-compatibility/2006">
          <mc:Choice Requires="x14">
            <control shapeId="545893" r:id="rId19" name="Drop Down 101">
              <controlPr defaultSize="0" autoLine="0" autoPict="0" macro="[0]!Scroll">
                <anchor moveWithCells="1">
                  <from>
                    <xdr:col>2</xdr:col>
                    <xdr:colOff>190500</xdr:colOff>
                    <xdr:row>25</xdr:row>
                    <xdr:rowOff>76200</xdr:rowOff>
                  </from>
                  <to>
                    <xdr:col>2</xdr:col>
                    <xdr:colOff>3429000</xdr:colOff>
                    <xdr:row>25</xdr:row>
                    <xdr:rowOff>333375</xdr:rowOff>
                  </to>
                </anchor>
              </controlPr>
            </control>
          </mc:Choice>
        </mc:AlternateContent>
        <mc:AlternateContent xmlns:mc="http://schemas.openxmlformats.org/markup-compatibility/2006">
          <mc:Choice Requires="x14">
            <control shapeId="545894" r:id="rId20" name="Drop Down 102">
              <controlPr defaultSize="0" autoLine="0" autoPict="0" macro="[0]!Scroll2">
                <anchor moveWithCells="1">
                  <from>
                    <xdr:col>2</xdr:col>
                    <xdr:colOff>190500</xdr:colOff>
                    <xdr:row>26</xdr:row>
                    <xdr:rowOff>76200</xdr:rowOff>
                  </from>
                  <to>
                    <xdr:col>2</xdr:col>
                    <xdr:colOff>3429000</xdr:colOff>
                    <xdr:row>26</xdr:row>
                    <xdr:rowOff>333375</xdr:rowOff>
                  </to>
                </anchor>
              </controlPr>
            </control>
          </mc:Choice>
        </mc:AlternateContent>
        <mc:AlternateContent xmlns:mc="http://schemas.openxmlformats.org/markup-compatibility/2006">
          <mc:Choice Requires="x14">
            <control shapeId="545895" r:id="rId21" name="Drop Down 103">
              <controlPr defaultSize="0" autoLine="0" autoPict="0" macro="[0]!Scroll">
                <anchor moveWithCells="1">
                  <from>
                    <xdr:col>2</xdr:col>
                    <xdr:colOff>190500</xdr:colOff>
                    <xdr:row>28</xdr:row>
                    <xdr:rowOff>76200</xdr:rowOff>
                  </from>
                  <to>
                    <xdr:col>2</xdr:col>
                    <xdr:colOff>3429000</xdr:colOff>
                    <xdr:row>28</xdr:row>
                    <xdr:rowOff>333375</xdr:rowOff>
                  </to>
                </anchor>
              </controlPr>
            </control>
          </mc:Choice>
        </mc:AlternateContent>
        <mc:AlternateContent xmlns:mc="http://schemas.openxmlformats.org/markup-compatibility/2006">
          <mc:Choice Requires="x14">
            <control shapeId="545896" r:id="rId22" name="Drop Down 104">
              <controlPr defaultSize="0" autoLine="0" autoPict="0" macro="[0]!Scroll">
                <anchor moveWithCells="1">
                  <from>
                    <xdr:col>2</xdr:col>
                    <xdr:colOff>190500</xdr:colOff>
                    <xdr:row>29</xdr:row>
                    <xdr:rowOff>76200</xdr:rowOff>
                  </from>
                  <to>
                    <xdr:col>2</xdr:col>
                    <xdr:colOff>3429000</xdr:colOff>
                    <xdr:row>29</xdr:row>
                    <xdr:rowOff>333375</xdr:rowOff>
                  </to>
                </anchor>
              </controlPr>
            </control>
          </mc:Choice>
        </mc:AlternateContent>
        <mc:AlternateContent xmlns:mc="http://schemas.openxmlformats.org/markup-compatibility/2006">
          <mc:Choice Requires="x14">
            <control shapeId="545897" r:id="rId23" name="Drop Down 105">
              <controlPr defaultSize="0" autoLine="0" autoPict="0" macro="[0]!Scroll">
                <anchor moveWithCells="1">
                  <from>
                    <xdr:col>2</xdr:col>
                    <xdr:colOff>190500</xdr:colOff>
                    <xdr:row>30</xdr:row>
                    <xdr:rowOff>76200</xdr:rowOff>
                  </from>
                  <to>
                    <xdr:col>2</xdr:col>
                    <xdr:colOff>3429000</xdr:colOff>
                    <xdr:row>30</xdr:row>
                    <xdr:rowOff>333375</xdr:rowOff>
                  </to>
                </anchor>
              </controlPr>
            </control>
          </mc:Choice>
        </mc:AlternateContent>
        <mc:AlternateContent xmlns:mc="http://schemas.openxmlformats.org/markup-compatibility/2006">
          <mc:Choice Requires="x14">
            <control shapeId="545898" r:id="rId24" name="Drop Down 106">
              <controlPr defaultSize="0" autoLine="0" autoPict="0" macro="[0]!Scroll">
                <anchor moveWithCells="1">
                  <from>
                    <xdr:col>2</xdr:col>
                    <xdr:colOff>190500</xdr:colOff>
                    <xdr:row>31</xdr:row>
                    <xdr:rowOff>76200</xdr:rowOff>
                  </from>
                  <to>
                    <xdr:col>2</xdr:col>
                    <xdr:colOff>3429000</xdr:colOff>
                    <xdr:row>31</xdr:row>
                    <xdr:rowOff>333375</xdr:rowOff>
                  </to>
                </anchor>
              </controlPr>
            </control>
          </mc:Choice>
        </mc:AlternateContent>
        <mc:AlternateContent xmlns:mc="http://schemas.openxmlformats.org/markup-compatibility/2006">
          <mc:Choice Requires="x14">
            <control shapeId="545899" r:id="rId25" name="Drop Down 107">
              <controlPr defaultSize="0" autoLine="0" autoPict="0" macro="[0]!Scroll">
                <anchor moveWithCells="1">
                  <from>
                    <xdr:col>2</xdr:col>
                    <xdr:colOff>190500</xdr:colOff>
                    <xdr:row>32</xdr:row>
                    <xdr:rowOff>76200</xdr:rowOff>
                  </from>
                  <to>
                    <xdr:col>2</xdr:col>
                    <xdr:colOff>3429000</xdr:colOff>
                    <xdr:row>32</xdr:row>
                    <xdr:rowOff>333375</xdr:rowOff>
                  </to>
                </anchor>
              </controlPr>
            </control>
          </mc:Choice>
        </mc:AlternateContent>
        <mc:AlternateContent xmlns:mc="http://schemas.openxmlformats.org/markup-compatibility/2006">
          <mc:Choice Requires="x14">
            <control shapeId="545900" r:id="rId26" name="Drop Down 108">
              <controlPr defaultSize="0" autoLine="0" autoPict="0" macro="[0]!Scroll2">
                <anchor moveWithCells="1">
                  <from>
                    <xdr:col>2</xdr:col>
                    <xdr:colOff>190500</xdr:colOff>
                    <xdr:row>33</xdr:row>
                    <xdr:rowOff>76200</xdr:rowOff>
                  </from>
                  <to>
                    <xdr:col>2</xdr:col>
                    <xdr:colOff>3429000</xdr:colOff>
                    <xdr:row>33</xdr:row>
                    <xdr:rowOff>333375</xdr:rowOff>
                  </to>
                </anchor>
              </controlPr>
            </control>
          </mc:Choice>
        </mc:AlternateContent>
        <mc:AlternateContent xmlns:mc="http://schemas.openxmlformats.org/markup-compatibility/2006">
          <mc:Choice Requires="x14">
            <control shapeId="545901" r:id="rId27" name="Drop Down 109">
              <controlPr defaultSize="0" autoLine="0" autoPict="0" macro="[0]!Scroll">
                <anchor moveWithCells="1">
                  <from>
                    <xdr:col>2</xdr:col>
                    <xdr:colOff>190500</xdr:colOff>
                    <xdr:row>35</xdr:row>
                    <xdr:rowOff>76200</xdr:rowOff>
                  </from>
                  <to>
                    <xdr:col>2</xdr:col>
                    <xdr:colOff>3429000</xdr:colOff>
                    <xdr:row>35</xdr:row>
                    <xdr:rowOff>333375</xdr:rowOff>
                  </to>
                </anchor>
              </controlPr>
            </control>
          </mc:Choice>
        </mc:AlternateContent>
        <mc:AlternateContent xmlns:mc="http://schemas.openxmlformats.org/markup-compatibility/2006">
          <mc:Choice Requires="x14">
            <control shapeId="545902" r:id="rId28" name="Drop Down 110">
              <controlPr defaultSize="0" autoLine="0" autoPict="0" macro="[0]!Scroll">
                <anchor moveWithCells="1">
                  <from>
                    <xdr:col>2</xdr:col>
                    <xdr:colOff>190500</xdr:colOff>
                    <xdr:row>36</xdr:row>
                    <xdr:rowOff>76200</xdr:rowOff>
                  </from>
                  <to>
                    <xdr:col>2</xdr:col>
                    <xdr:colOff>3429000</xdr:colOff>
                    <xdr:row>36</xdr:row>
                    <xdr:rowOff>333375</xdr:rowOff>
                  </to>
                </anchor>
              </controlPr>
            </control>
          </mc:Choice>
        </mc:AlternateContent>
        <mc:AlternateContent xmlns:mc="http://schemas.openxmlformats.org/markup-compatibility/2006">
          <mc:Choice Requires="x14">
            <control shapeId="545903" r:id="rId29" name="Drop Down 111">
              <controlPr defaultSize="0" autoLine="0" autoPict="0" macro="[0]!Scroll">
                <anchor moveWithCells="1">
                  <from>
                    <xdr:col>2</xdr:col>
                    <xdr:colOff>190500</xdr:colOff>
                    <xdr:row>37</xdr:row>
                    <xdr:rowOff>76200</xdr:rowOff>
                  </from>
                  <to>
                    <xdr:col>2</xdr:col>
                    <xdr:colOff>3429000</xdr:colOff>
                    <xdr:row>37</xdr:row>
                    <xdr:rowOff>333375</xdr:rowOff>
                  </to>
                </anchor>
              </controlPr>
            </control>
          </mc:Choice>
        </mc:AlternateContent>
        <mc:AlternateContent xmlns:mc="http://schemas.openxmlformats.org/markup-compatibility/2006">
          <mc:Choice Requires="x14">
            <control shapeId="545904" r:id="rId30" name="Drop Down 112">
              <controlPr defaultSize="0" autoLine="0" autoPict="0" macro="[0]!Scroll">
                <anchor moveWithCells="1">
                  <from>
                    <xdr:col>2</xdr:col>
                    <xdr:colOff>190500</xdr:colOff>
                    <xdr:row>38</xdr:row>
                    <xdr:rowOff>76200</xdr:rowOff>
                  </from>
                  <to>
                    <xdr:col>2</xdr:col>
                    <xdr:colOff>3429000</xdr:colOff>
                    <xdr:row>38</xdr:row>
                    <xdr:rowOff>333375</xdr:rowOff>
                  </to>
                </anchor>
              </controlPr>
            </control>
          </mc:Choice>
        </mc:AlternateContent>
        <mc:AlternateContent xmlns:mc="http://schemas.openxmlformats.org/markup-compatibility/2006">
          <mc:Choice Requires="x14">
            <control shapeId="545905" r:id="rId31" name="Drop Down 113">
              <controlPr defaultSize="0" autoLine="0" autoPict="0" macro="[0]!Scroll">
                <anchor moveWithCells="1">
                  <from>
                    <xdr:col>2</xdr:col>
                    <xdr:colOff>190500</xdr:colOff>
                    <xdr:row>39</xdr:row>
                    <xdr:rowOff>76200</xdr:rowOff>
                  </from>
                  <to>
                    <xdr:col>2</xdr:col>
                    <xdr:colOff>3429000</xdr:colOff>
                    <xdr:row>39</xdr:row>
                    <xdr:rowOff>333375</xdr:rowOff>
                  </to>
                </anchor>
              </controlPr>
            </control>
          </mc:Choice>
        </mc:AlternateContent>
        <mc:AlternateContent xmlns:mc="http://schemas.openxmlformats.org/markup-compatibility/2006">
          <mc:Choice Requires="x14">
            <control shapeId="545906" r:id="rId32" name="Drop Down 114">
              <controlPr defaultSize="0" autoLine="0" autoPict="0" macro="[0]!Scroll2">
                <anchor moveWithCells="1">
                  <from>
                    <xdr:col>2</xdr:col>
                    <xdr:colOff>190500</xdr:colOff>
                    <xdr:row>40</xdr:row>
                    <xdr:rowOff>76200</xdr:rowOff>
                  </from>
                  <to>
                    <xdr:col>2</xdr:col>
                    <xdr:colOff>3429000</xdr:colOff>
                    <xdr:row>40</xdr:row>
                    <xdr:rowOff>333375</xdr:rowOff>
                  </to>
                </anchor>
              </controlPr>
            </control>
          </mc:Choice>
        </mc:AlternateContent>
        <mc:AlternateContent xmlns:mc="http://schemas.openxmlformats.org/markup-compatibility/2006">
          <mc:Choice Requires="x14">
            <control shapeId="545907" r:id="rId33" name="Drop Down 115">
              <controlPr defaultSize="0" autoLine="0" autoPict="0" macro="[0]!Scroll">
                <anchor moveWithCells="1">
                  <from>
                    <xdr:col>2</xdr:col>
                    <xdr:colOff>190500</xdr:colOff>
                    <xdr:row>42</xdr:row>
                    <xdr:rowOff>76200</xdr:rowOff>
                  </from>
                  <to>
                    <xdr:col>2</xdr:col>
                    <xdr:colOff>3429000</xdr:colOff>
                    <xdr:row>42</xdr:row>
                    <xdr:rowOff>333375</xdr:rowOff>
                  </to>
                </anchor>
              </controlPr>
            </control>
          </mc:Choice>
        </mc:AlternateContent>
        <mc:AlternateContent xmlns:mc="http://schemas.openxmlformats.org/markup-compatibility/2006">
          <mc:Choice Requires="x14">
            <control shapeId="545908" r:id="rId34" name="Drop Down 116">
              <controlPr defaultSize="0" autoLine="0" autoPict="0" macro="[0]!Scroll">
                <anchor moveWithCells="1">
                  <from>
                    <xdr:col>2</xdr:col>
                    <xdr:colOff>190500</xdr:colOff>
                    <xdr:row>43</xdr:row>
                    <xdr:rowOff>76200</xdr:rowOff>
                  </from>
                  <to>
                    <xdr:col>2</xdr:col>
                    <xdr:colOff>3429000</xdr:colOff>
                    <xdr:row>43</xdr:row>
                    <xdr:rowOff>333375</xdr:rowOff>
                  </to>
                </anchor>
              </controlPr>
            </control>
          </mc:Choice>
        </mc:AlternateContent>
        <mc:AlternateContent xmlns:mc="http://schemas.openxmlformats.org/markup-compatibility/2006">
          <mc:Choice Requires="x14">
            <control shapeId="545909" r:id="rId35" name="Drop Down 117">
              <controlPr defaultSize="0" autoLine="0" autoPict="0" macro="[0]!Scroll">
                <anchor moveWithCells="1">
                  <from>
                    <xdr:col>2</xdr:col>
                    <xdr:colOff>190500</xdr:colOff>
                    <xdr:row>44</xdr:row>
                    <xdr:rowOff>76200</xdr:rowOff>
                  </from>
                  <to>
                    <xdr:col>2</xdr:col>
                    <xdr:colOff>3429000</xdr:colOff>
                    <xdr:row>44</xdr:row>
                    <xdr:rowOff>333375</xdr:rowOff>
                  </to>
                </anchor>
              </controlPr>
            </control>
          </mc:Choice>
        </mc:AlternateContent>
        <mc:AlternateContent xmlns:mc="http://schemas.openxmlformats.org/markup-compatibility/2006">
          <mc:Choice Requires="x14">
            <control shapeId="545910" r:id="rId36" name="Drop Down 118">
              <controlPr defaultSize="0" autoLine="0" autoPict="0" macro="[0]!Scroll">
                <anchor moveWithCells="1">
                  <from>
                    <xdr:col>2</xdr:col>
                    <xdr:colOff>190500</xdr:colOff>
                    <xdr:row>45</xdr:row>
                    <xdr:rowOff>76200</xdr:rowOff>
                  </from>
                  <to>
                    <xdr:col>2</xdr:col>
                    <xdr:colOff>3429000</xdr:colOff>
                    <xdr:row>45</xdr:row>
                    <xdr:rowOff>333375</xdr:rowOff>
                  </to>
                </anchor>
              </controlPr>
            </control>
          </mc:Choice>
        </mc:AlternateContent>
        <mc:AlternateContent xmlns:mc="http://schemas.openxmlformats.org/markup-compatibility/2006">
          <mc:Choice Requires="x14">
            <control shapeId="545911" r:id="rId37" name="Drop Down 119">
              <controlPr defaultSize="0" autoLine="0" autoPict="0" macro="[0]!Scroll">
                <anchor moveWithCells="1">
                  <from>
                    <xdr:col>2</xdr:col>
                    <xdr:colOff>190500</xdr:colOff>
                    <xdr:row>46</xdr:row>
                    <xdr:rowOff>76200</xdr:rowOff>
                  </from>
                  <to>
                    <xdr:col>2</xdr:col>
                    <xdr:colOff>3429000</xdr:colOff>
                    <xdr:row>46</xdr:row>
                    <xdr:rowOff>333375</xdr:rowOff>
                  </to>
                </anchor>
              </controlPr>
            </control>
          </mc:Choice>
        </mc:AlternateContent>
        <mc:AlternateContent xmlns:mc="http://schemas.openxmlformats.org/markup-compatibility/2006">
          <mc:Choice Requires="x14">
            <control shapeId="545912" r:id="rId38" name="Drop Down 120">
              <controlPr defaultSize="0" autoLine="0" autoPict="0" macro="[0]!Scroll2">
                <anchor moveWithCells="1">
                  <from>
                    <xdr:col>2</xdr:col>
                    <xdr:colOff>190500</xdr:colOff>
                    <xdr:row>47</xdr:row>
                    <xdr:rowOff>76200</xdr:rowOff>
                  </from>
                  <to>
                    <xdr:col>2</xdr:col>
                    <xdr:colOff>3429000</xdr:colOff>
                    <xdr:row>47</xdr:row>
                    <xdr:rowOff>333375</xdr:rowOff>
                  </to>
                </anchor>
              </controlPr>
            </control>
          </mc:Choice>
        </mc:AlternateContent>
        <mc:AlternateContent xmlns:mc="http://schemas.openxmlformats.org/markup-compatibility/2006">
          <mc:Choice Requires="x14">
            <control shapeId="545913" r:id="rId39" name="Drop Down 121">
              <controlPr defaultSize="0" autoLine="0" autoPict="0" macro="[0]!Scroll">
                <anchor moveWithCells="1">
                  <from>
                    <xdr:col>2</xdr:col>
                    <xdr:colOff>190500</xdr:colOff>
                    <xdr:row>49</xdr:row>
                    <xdr:rowOff>76200</xdr:rowOff>
                  </from>
                  <to>
                    <xdr:col>2</xdr:col>
                    <xdr:colOff>3429000</xdr:colOff>
                    <xdr:row>49</xdr:row>
                    <xdr:rowOff>333375</xdr:rowOff>
                  </to>
                </anchor>
              </controlPr>
            </control>
          </mc:Choice>
        </mc:AlternateContent>
        <mc:AlternateContent xmlns:mc="http://schemas.openxmlformats.org/markup-compatibility/2006">
          <mc:Choice Requires="x14">
            <control shapeId="545914" r:id="rId40" name="Drop Down 122">
              <controlPr defaultSize="0" autoLine="0" autoPict="0" macro="[0]!Scroll">
                <anchor moveWithCells="1">
                  <from>
                    <xdr:col>2</xdr:col>
                    <xdr:colOff>190500</xdr:colOff>
                    <xdr:row>50</xdr:row>
                    <xdr:rowOff>76200</xdr:rowOff>
                  </from>
                  <to>
                    <xdr:col>2</xdr:col>
                    <xdr:colOff>3429000</xdr:colOff>
                    <xdr:row>50</xdr:row>
                    <xdr:rowOff>333375</xdr:rowOff>
                  </to>
                </anchor>
              </controlPr>
            </control>
          </mc:Choice>
        </mc:AlternateContent>
        <mc:AlternateContent xmlns:mc="http://schemas.openxmlformats.org/markup-compatibility/2006">
          <mc:Choice Requires="x14">
            <control shapeId="545915" r:id="rId41" name="Drop Down 123">
              <controlPr defaultSize="0" autoLine="0" autoPict="0" macro="[0]!Scroll">
                <anchor moveWithCells="1">
                  <from>
                    <xdr:col>2</xdr:col>
                    <xdr:colOff>190500</xdr:colOff>
                    <xdr:row>51</xdr:row>
                    <xdr:rowOff>76200</xdr:rowOff>
                  </from>
                  <to>
                    <xdr:col>2</xdr:col>
                    <xdr:colOff>3429000</xdr:colOff>
                    <xdr:row>51</xdr:row>
                    <xdr:rowOff>333375</xdr:rowOff>
                  </to>
                </anchor>
              </controlPr>
            </control>
          </mc:Choice>
        </mc:AlternateContent>
        <mc:AlternateContent xmlns:mc="http://schemas.openxmlformats.org/markup-compatibility/2006">
          <mc:Choice Requires="x14">
            <control shapeId="545916" r:id="rId42" name="Drop Down 124">
              <controlPr defaultSize="0" autoLine="0" autoPict="0" macro="[0]!Scroll">
                <anchor moveWithCells="1">
                  <from>
                    <xdr:col>2</xdr:col>
                    <xdr:colOff>190500</xdr:colOff>
                    <xdr:row>52</xdr:row>
                    <xdr:rowOff>76200</xdr:rowOff>
                  </from>
                  <to>
                    <xdr:col>2</xdr:col>
                    <xdr:colOff>3429000</xdr:colOff>
                    <xdr:row>52</xdr:row>
                    <xdr:rowOff>333375</xdr:rowOff>
                  </to>
                </anchor>
              </controlPr>
            </control>
          </mc:Choice>
        </mc:AlternateContent>
        <mc:AlternateContent xmlns:mc="http://schemas.openxmlformats.org/markup-compatibility/2006">
          <mc:Choice Requires="x14">
            <control shapeId="545917" r:id="rId43" name="Drop Down 125">
              <controlPr defaultSize="0" autoLine="0" autoPict="0" macro="[0]!Scroll">
                <anchor moveWithCells="1">
                  <from>
                    <xdr:col>2</xdr:col>
                    <xdr:colOff>190500</xdr:colOff>
                    <xdr:row>53</xdr:row>
                    <xdr:rowOff>76200</xdr:rowOff>
                  </from>
                  <to>
                    <xdr:col>2</xdr:col>
                    <xdr:colOff>3429000</xdr:colOff>
                    <xdr:row>53</xdr:row>
                    <xdr:rowOff>333375</xdr:rowOff>
                  </to>
                </anchor>
              </controlPr>
            </control>
          </mc:Choice>
        </mc:AlternateContent>
        <mc:AlternateContent xmlns:mc="http://schemas.openxmlformats.org/markup-compatibility/2006">
          <mc:Choice Requires="x14">
            <control shapeId="545918" r:id="rId44" name="Drop Down 126">
              <controlPr defaultSize="0" autoLine="0" autoPict="0" macro="[0]!Scroll2">
                <anchor moveWithCells="1">
                  <from>
                    <xdr:col>2</xdr:col>
                    <xdr:colOff>190500</xdr:colOff>
                    <xdr:row>54</xdr:row>
                    <xdr:rowOff>76200</xdr:rowOff>
                  </from>
                  <to>
                    <xdr:col>2</xdr:col>
                    <xdr:colOff>3429000</xdr:colOff>
                    <xdr:row>54</xdr:row>
                    <xdr:rowOff>333375</xdr:rowOff>
                  </to>
                </anchor>
              </controlPr>
            </control>
          </mc:Choice>
        </mc:AlternateContent>
        <mc:AlternateContent xmlns:mc="http://schemas.openxmlformats.org/markup-compatibility/2006">
          <mc:Choice Requires="x14">
            <control shapeId="545919" r:id="rId45" name="Drop Down 127">
              <controlPr defaultSize="0" autoLine="0" autoPict="0" macro="[0]!Scroll">
                <anchor moveWithCells="1">
                  <from>
                    <xdr:col>2</xdr:col>
                    <xdr:colOff>190500</xdr:colOff>
                    <xdr:row>56</xdr:row>
                    <xdr:rowOff>76200</xdr:rowOff>
                  </from>
                  <to>
                    <xdr:col>2</xdr:col>
                    <xdr:colOff>3429000</xdr:colOff>
                    <xdr:row>56</xdr:row>
                    <xdr:rowOff>333375</xdr:rowOff>
                  </to>
                </anchor>
              </controlPr>
            </control>
          </mc:Choice>
        </mc:AlternateContent>
        <mc:AlternateContent xmlns:mc="http://schemas.openxmlformats.org/markup-compatibility/2006">
          <mc:Choice Requires="x14">
            <control shapeId="545920" r:id="rId46" name="Drop Down 128">
              <controlPr defaultSize="0" autoLine="0" autoPict="0" macro="[0]!Scroll">
                <anchor moveWithCells="1">
                  <from>
                    <xdr:col>2</xdr:col>
                    <xdr:colOff>190500</xdr:colOff>
                    <xdr:row>57</xdr:row>
                    <xdr:rowOff>76200</xdr:rowOff>
                  </from>
                  <to>
                    <xdr:col>2</xdr:col>
                    <xdr:colOff>3429000</xdr:colOff>
                    <xdr:row>57</xdr:row>
                    <xdr:rowOff>333375</xdr:rowOff>
                  </to>
                </anchor>
              </controlPr>
            </control>
          </mc:Choice>
        </mc:AlternateContent>
        <mc:AlternateContent xmlns:mc="http://schemas.openxmlformats.org/markup-compatibility/2006">
          <mc:Choice Requires="x14">
            <control shapeId="545921" r:id="rId47" name="Drop Down 129">
              <controlPr defaultSize="0" autoLine="0" autoPict="0" macro="[0]!Scroll">
                <anchor moveWithCells="1">
                  <from>
                    <xdr:col>2</xdr:col>
                    <xdr:colOff>190500</xdr:colOff>
                    <xdr:row>58</xdr:row>
                    <xdr:rowOff>76200</xdr:rowOff>
                  </from>
                  <to>
                    <xdr:col>2</xdr:col>
                    <xdr:colOff>3429000</xdr:colOff>
                    <xdr:row>58</xdr:row>
                    <xdr:rowOff>333375</xdr:rowOff>
                  </to>
                </anchor>
              </controlPr>
            </control>
          </mc:Choice>
        </mc:AlternateContent>
        <mc:AlternateContent xmlns:mc="http://schemas.openxmlformats.org/markup-compatibility/2006">
          <mc:Choice Requires="x14">
            <control shapeId="545922" r:id="rId48" name="Drop Down 130">
              <controlPr defaultSize="0" autoLine="0" autoPict="0" macro="[0]!Scroll">
                <anchor moveWithCells="1">
                  <from>
                    <xdr:col>2</xdr:col>
                    <xdr:colOff>190500</xdr:colOff>
                    <xdr:row>59</xdr:row>
                    <xdr:rowOff>76200</xdr:rowOff>
                  </from>
                  <to>
                    <xdr:col>2</xdr:col>
                    <xdr:colOff>3429000</xdr:colOff>
                    <xdr:row>59</xdr:row>
                    <xdr:rowOff>333375</xdr:rowOff>
                  </to>
                </anchor>
              </controlPr>
            </control>
          </mc:Choice>
        </mc:AlternateContent>
        <mc:AlternateContent xmlns:mc="http://schemas.openxmlformats.org/markup-compatibility/2006">
          <mc:Choice Requires="x14">
            <control shapeId="545923" r:id="rId49" name="Drop Down 131">
              <controlPr defaultSize="0" autoLine="0" autoPict="0" macro="[0]!Scroll">
                <anchor moveWithCells="1">
                  <from>
                    <xdr:col>2</xdr:col>
                    <xdr:colOff>190500</xdr:colOff>
                    <xdr:row>60</xdr:row>
                    <xdr:rowOff>76200</xdr:rowOff>
                  </from>
                  <to>
                    <xdr:col>2</xdr:col>
                    <xdr:colOff>3429000</xdr:colOff>
                    <xdr:row>60</xdr:row>
                    <xdr:rowOff>333375</xdr:rowOff>
                  </to>
                </anchor>
              </controlPr>
            </control>
          </mc:Choice>
        </mc:AlternateContent>
        <mc:AlternateContent xmlns:mc="http://schemas.openxmlformats.org/markup-compatibility/2006">
          <mc:Choice Requires="x14">
            <control shapeId="545924" r:id="rId50" name="Drop Down 132">
              <controlPr defaultSize="0" autoLine="0" autoPict="0" macro="[0]!Scroll2">
                <anchor moveWithCells="1">
                  <from>
                    <xdr:col>2</xdr:col>
                    <xdr:colOff>190500</xdr:colOff>
                    <xdr:row>61</xdr:row>
                    <xdr:rowOff>76200</xdr:rowOff>
                  </from>
                  <to>
                    <xdr:col>2</xdr:col>
                    <xdr:colOff>3429000</xdr:colOff>
                    <xdr:row>61</xdr:row>
                    <xdr:rowOff>333375</xdr:rowOff>
                  </to>
                </anchor>
              </controlPr>
            </control>
          </mc:Choice>
        </mc:AlternateContent>
        <mc:AlternateContent xmlns:mc="http://schemas.openxmlformats.org/markup-compatibility/2006">
          <mc:Choice Requires="x14">
            <control shapeId="545925" r:id="rId51" name="Drop Down 133">
              <controlPr defaultSize="0" autoLine="0" autoPict="0" macro="[0]!Scroll">
                <anchor moveWithCells="1">
                  <from>
                    <xdr:col>2</xdr:col>
                    <xdr:colOff>190500</xdr:colOff>
                    <xdr:row>63</xdr:row>
                    <xdr:rowOff>76200</xdr:rowOff>
                  </from>
                  <to>
                    <xdr:col>2</xdr:col>
                    <xdr:colOff>3429000</xdr:colOff>
                    <xdr:row>63</xdr:row>
                    <xdr:rowOff>333375</xdr:rowOff>
                  </to>
                </anchor>
              </controlPr>
            </control>
          </mc:Choice>
        </mc:AlternateContent>
        <mc:AlternateContent xmlns:mc="http://schemas.openxmlformats.org/markup-compatibility/2006">
          <mc:Choice Requires="x14">
            <control shapeId="545926" r:id="rId52" name="Drop Down 134">
              <controlPr defaultSize="0" autoLine="0" autoPict="0" macro="[0]!Scroll">
                <anchor moveWithCells="1">
                  <from>
                    <xdr:col>2</xdr:col>
                    <xdr:colOff>190500</xdr:colOff>
                    <xdr:row>64</xdr:row>
                    <xdr:rowOff>76200</xdr:rowOff>
                  </from>
                  <to>
                    <xdr:col>2</xdr:col>
                    <xdr:colOff>3429000</xdr:colOff>
                    <xdr:row>64</xdr:row>
                    <xdr:rowOff>333375</xdr:rowOff>
                  </to>
                </anchor>
              </controlPr>
            </control>
          </mc:Choice>
        </mc:AlternateContent>
        <mc:AlternateContent xmlns:mc="http://schemas.openxmlformats.org/markup-compatibility/2006">
          <mc:Choice Requires="x14">
            <control shapeId="545927" r:id="rId53" name="Drop Down 135">
              <controlPr defaultSize="0" autoLine="0" autoPict="0" macro="[0]!Scroll">
                <anchor moveWithCells="1">
                  <from>
                    <xdr:col>2</xdr:col>
                    <xdr:colOff>190500</xdr:colOff>
                    <xdr:row>65</xdr:row>
                    <xdr:rowOff>76200</xdr:rowOff>
                  </from>
                  <to>
                    <xdr:col>2</xdr:col>
                    <xdr:colOff>3429000</xdr:colOff>
                    <xdr:row>65</xdr:row>
                    <xdr:rowOff>333375</xdr:rowOff>
                  </to>
                </anchor>
              </controlPr>
            </control>
          </mc:Choice>
        </mc:AlternateContent>
        <mc:AlternateContent xmlns:mc="http://schemas.openxmlformats.org/markup-compatibility/2006">
          <mc:Choice Requires="x14">
            <control shapeId="545928" r:id="rId54" name="Drop Down 136">
              <controlPr defaultSize="0" autoLine="0" autoPict="0" macro="[0]!Scroll">
                <anchor moveWithCells="1">
                  <from>
                    <xdr:col>2</xdr:col>
                    <xdr:colOff>190500</xdr:colOff>
                    <xdr:row>66</xdr:row>
                    <xdr:rowOff>76200</xdr:rowOff>
                  </from>
                  <to>
                    <xdr:col>2</xdr:col>
                    <xdr:colOff>3429000</xdr:colOff>
                    <xdr:row>66</xdr:row>
                    <xdr:rowOff>333375</xdr:rowOff>
                  </to>
                </anchor>
              </controlPr>
            </control>
          </mc:Choice>
        </mc:AlternateContent>
        <mc:AlternateContent xmlns:mc="http://schemas.openxmlformats.org/markup-compatibility/2006">
          <mc:Choice Requires="x14">
            <control shapeId="545929" r:id="rId55" name="Drop Down 137">
              <controlPr defaultSize="0" autoLine="0" autoPict="0" macro="[0]!Scroll">
                <anchor moveWithCells="1">
                  <from>
                    <xdr:col>2</xdr:col>
                    <xdr:colOff>190500</xdr:colOff>
                    <xdr:row>67</xdr:row>
                    <xdr:rowOff>76200</xdr:rowOff>
                  </from>
                  <to>
                    <xdr:col>2</xdr:col>
                    <xdr:colOff>3429000</xdr:colOff>
                    <xdr:row>67</xdr:row>
                    <xdr:rowOff>333375</xdr:rowOff>
                  </to>
                </anchor>
              </controlPr>
            </control>
          </mc:Choice>
        </mc:AlternateContent>
        <mc:AlternateContent xmlns:mc="http://schemas.openxmlformats.org/markup-compatibility/2006">
          <mc:Choice Requires="x14">
            <control shapeId="545930" r:id="rId56" name="Drop Down 138">
              <controlPr defaultSize="0" autoLine="0" autoPict="0" macro="[0]!Scroll2">
                <anchor moveWithCells="1">
                  <from>
                    <xdr:col>2</xdr:col>
                    <xdr:colOff>190500</xdr:colOff>
                    <xdr:row>68</xdr:row>
                    <xdr:rowOff>76200</xdr:rowOff>
                  </from>
                  <to>
                    <xdr:col>2</xdr:col>
                    <xdr:colOff>3429000</xdr:colOff>
                    <xdr:row>68</xdr:row>
                    <xdr:rowOff>333375</xdr:rowOff>
                  </to>
                </anchor>
              </controlPr>
            </control>
          </mc:Choice>
        </mc:AlternateContent>
        <mc:AlternateContent xmlns:mc="http://schemas.openxmlformats.org/markup-compatibility/2006">
          <mc:Choice Requires="x14">
            <control shapeId="545931" r:id="rId57" name="Drop Down 139">
              <controlPr defaultSize="0" autoLine="0" autoPict="0" macro="[0]!Scroll">
                <anchor moveWithCells="1">
                  <from>
                    <xdr:col>2</xdr:col>
                    <xdr:colOff>190500</xdr:colOff>
                    <xdr:row>70</xdr:row>
                    <xdr:rowOff>76200</xdr:rowOff>
                  </from>
                  <to>
                    <xdr:col>2</xdr:col>
                    <xdr:colOff>3429000</xdr:colOff>
                    <xdr:row>70</xdr:row>
                    <xdr:rowOff>333375</xdr:rowOff>
                  </to>
                </anchor>
              </controlPr>
            </control>
          </mc:Choice>
        </mc:AlternateContent>
        <mc:AlternateContent xmlns:mc="http://schemas.openxmlformats.org/markup-compatibility/2006">
          <mc:Choice Requires="x14">
            <control shapeId="545932" r:id="rId58" name="Drop Down 140">
              <controlPr defaultSize="0" autoLine="0" autoPict="0" macro="[0]!Scroll">
                <anchor moveWithCells="1">
                  <from>
                    <xdr:col>2</xdr:col>
                    <xdr:colOff>190500</xdr:colOff>
                    <xdr:row>71</xdr:row>
                    <xdr:rowOff>76200</xdr:rowOff>
                  </from>
                  <to>
                    <xdr:col>2</xdr:col>
                    <xdr:colOff>3429000</xdr:colOff>
                    <xdr:row>71</xdr:row>
                    <xdr:rowOff>333375</xdr:rowOff>
                  </to>
                </anchor>
              </controlPr>
            </control>
          </mc:Choice>
        </mc:AlternateContent>
        <mc:AlternateContent xmlns:mc="http://schemas.openxmlformats.org/markup-compatibility/2006">
          <mc:Choice Requires="x14">
            <control shapeId="545933" r:id="rId59" name="Drop Down 141">
              <controlPr defaultSize="0" autoLine="0" autoPict="0" macro="[0]!Scroll">
                <anchor moveWithCells="1">
                  <from>
                    <xdr:col>2</xdr:col>
                    <xdr:colOff>190500</xdr:colOff>
                    <xdr:row>72</xdr:row>
                    <xdr:rowOff>76200</xdr:rowOff>
                  </from>
                  <to>
                    <xdr:col>2</xdr:col>
                    <xdr:colOff>3429000</xdr:colOff>
                    <xdr:row>72</xdr:row>
                    <xdr:rowOff>333375</xdr:rowOff>
                  </to>
                </anchor>
              </controlPr>
            </control>
          </mc:Choice>
        </mc:AlternateContent>
        <mc:AlternateContent xmlns:mc="http://schemas.openxmlformats.org/markup-compatibility/2006">
          <mc:Choice Requires="x14">
            <control shapeId="545934" r:id="rId60" name="Drop Down 142">
              <controlPr defaultSize="0" autoLine="0" autoPict="0" macro="[0]!Scroll">
                <anchor moveWithCells="1">
                  <from>
                    <xdr:col>2</xdr:col>
                    <xdr:colOff>190500</xdr:colOff>
                    <xdr:row>73</xdr:row>
                    <xdr:rowOff>76200</xdr:rowOff>
                  </from>
                  <to>
                    <xdr:col>2</xdr:col>
                    <xdr:colOff>3429000</xdr:colOff>
                    <xdr:row>73</xdr:row>
                    <xdr:rowOff>333375</xdr:rowOff>
                  </to>
                </anchor>
              </controlPr>
            </control>
          </mc:Choice>
        </mc:AlternateContent>
        <mc:AlternateContent xmlns:mc="http://schemas.openxmlformats.org/markup-compatibility/2006">
          <mc:Choice Requires="x14">
            <control shapeId="545935" r:id="rId61" name="Drop Down 143">
              <controlPr defaultSize="0" autoLine="0" autoPict="0" macro="[0]!Scroll">
                <anchor moveWithCells="1">
                  <from>
                    <xdr:col>2</xdr:col>
                    <xdr:colOff>190500</xdr:colOff>
                    <xdr:row>74</xdr:row>
                    <xdr:rowOff>76200</xdr:rowOff>
                  </from>
                  <to>
                    <xdr:col>2</xdr:col>
                    <xdr:colOff>3429000</xdr:colOff>
                    <xdr:row>74</xdr:row>
                    <xdr:rowOff>333375</xdr:rowOff>
                  </to>
                </anchor>
              </controlPr>
            </control>
          </mc:Choice>
        </mc:AlternateContent>
        <mc:AlternateContent xmlns:mc="http://schemas.openxmlformats.org/markup-compatibility/2006">
          <mc:Choice Requires="x14">
            <control shapeId="545936" r:id="rId62" name="Drop Down 144">
              <controlPr defaultSize="0" autoLine="0" autoPict="0" macro="[0]!Scroll2">
                <anchor moveWithCells="1">
                  <from>
                    <xdr:col>2</xdr:col>
                    <xdr:colOff>190500</xdr:colOff>
                    <xdr:row>75</xdr:row>
                    <xdr:rowOff>76200</xdr:rowOff>
                  </from>
                  <to>
                    <xdr:col>2</xdr:col>
                    <xdr:colOff>3429000</xdr:colOff>
                    <xdr:row>75</xdr:row>
                    <xdr:rowOff>333375</xdr:rowOff>
                  </to>
                </anchor>
              </controlPr>
            </control>
          </mc:Choice>
        </mc:AlternateContent>
        <mc:AlternateContent xmlns:mc="http://schemas.openxmlformats.org/markup-compatibility/2006">
          <mc:Choice Requires="x14">
            <control shapeId="545937" r:id="rId63" name="Drop Down 145">
              <controlPr defaultSize="0" autoLine="0" autoPict="0" macro="[0]!Scroll">
                <anchor moveWithCells="1">
                  <from>
                    <xdr:col>2</xdr:col>
                    <xdr:colOff>190500</xdr:colOff>
                    <xdr:row>77</xdr:row>
                    <xdr:rowOff>76200</xdr:rowOff>
                  </from>
                  <to>
                    <xdr:col>2</xdr:col>
                    <xdr:colOff>3429000</xdr:colOff>
                    <xdr:row>77</xdr:row>
                    <xdr:rowOff>333375</xdr:rowOff>
                  </to>
                </anchor>
              </controlPr>
            </control>
          </mc:Choice>
        </mc:AlternateContent>
        <mc:AlternateContent xmlns:mc="http://schemas.openxmlformats.org/markup-compatibility/2006">
          <mc:Choice Requires="x14">
            <control shapeId="545938" r:id="rId64" name="Drop Down 146">
              <controlPr defaultSize="0" autoLine="0" autoPict="0" macro="[0]!Scroll">
                <anchor moveWithCells="1">
                  <from>
                    <xdr:col>2</xdr:col>
                    <xdr:colOff>190500</xdr:colOff>
                    <xdr:row>78</xdr:row>
                    <xdr:rowOff>76200</xdr:rowOff>
                  </from>
                  <to>
                    <xdr:col>2</xdr:col>
                    <xdr:colOff>3429000</xdr:colOff>
                    <xdr:row>78</xdr:row>
                    <xdr:rowOff>333375</xdr:rowOff>
                  </to>
                </anchor>
              </controlPr>
            </control>
          </mc:Choice>
        </mc:AlternateContent>
        <mc:AlternateContent xmlns:mc="http://schemas.openxmlformats.org/markup-compatibility/2006">
          <mc:Choice Requires="x14">
            <control shapeId="545939" r:id="rId65" name="Drop Down 147">
              <controlPr defaultSize="0" autoLine="0" autoPict="0" macro="[0]!Scroll">
                <anchor moveWithCells="1">
                  <from>
                    <xdr:col>2</xdr:col>
                    <xdr:colOff>190500</xdr:colOff>
                    <xdr:row>79</xdr:row>
                    <xdr:rowOff>76200</xdr:rowOff>
                  </from>
                  <to>
                    <xdr:col>2</xdr:col>
                    <xdr:colOff>3429000</xdr:colOff>
                    <xdr:row>79</xdr:row>
                    <xdr:rowOff>333375</xdr:rowOff>
                  </to>
                </anchor>
              </controlPr>
            </control>
          </mc:Choice>
        </mc:AlternateContent>
        <mc:AlternateContent xmlns:mc="http://schemas.openxmlformats.org/markup-compatibility/2006">
          <mc:Choice Requires="x14">
            <control shapeId="545940" r:id="rId66" name="Drop Down 148">
              <controlPr defaultSize="0" autoLine="0" autoPict="0" macro="[0]!Scroll">
                <anchor moveWithCells="1">
                  <from>
                    <xdr:col>2</xdr:col>
                    <xdr:colOff>190500</xdr:colOff>
                    <xdr:row>80</xdr:row>
                    <xdr:rowOff>76200</xdr:rowOff>
                  </from>
                  <to>
                    <xdr:col>2</xdr:col>
                    <xdr:colOff>3429000</xdr:colOff>
                    <xdr:row>80</xdr:row>
                    <xdr:rowOff>333375</xdr:rowOff>
                  </to>
                </anchor>
              </controlPr>
            </control>
          </mc:Choice>
        </mc:AlternateContent>
        <mc:AlternateContent xmlns:mc="http://schemas.openxmlformats.org/markup-compatibility/2006">
          <mc:Choice Requires="x14">
            <control shapeId="545941" r:id="rId67" name="Drop Down 149">
              <controlPr defaultSize="0" autoLine="0" autoPict="0" macro="[0]!Scroll">
                <anchor moveWithCells="1">
                  <from>
                    <xdr:col>2</xdr:col>
                    <xdr:colOff>190500</xdr:colOff>
                    <xdr:row>81</xdr:row>
                    <xdr:rowOff>76200</xdr:rowOff>
                  </from>
                  <to>
                    <xdr:col>2</xdr:col>
                    <xdr:colOff>3429000</xdr:colOff>
                    <xdr:row>81</xdr:row>
                    <xdr:rowOff>333375</xdr:rowOff>
                  </to>
                </anchor>
              </controlPr>
            </control>
          </mc:Choice>
        </mc:AlternateContent>
        <mc:AlternateContent xmlns:mc="http://schemas.openxmlformats.org/markup-compatibility/2006">
          <mc:Choice Requires="x14">
            <control shapeId="545942" r:id="rId68" name="Drop Down 150">
              <controlPr defaultSize="0" autoLine="0" autoPict="0" macro="[0]!Scroll2">
                <anchor moveWithCells="1">
                  <from>
                    <xdr:col>2</xdr:col>
                    <xdr:colOff>190500</xdr:colOff>
                    <xdr:row>82</xdr:row>
                    <xdr:rowOff>76200</xdr:rowOff>
                  </from>
                  <to>
                    <xdr:col>2</xdr:col>
                    <xdr:colOff>3429000</xdr:colOff>
                    <xdr:row>82</xdr:row>
                    <xdr:rowOff>333375</xdr:rowOff>
                  </to>
                </anchor>
              </controlPr>
            </control>
          </mc:Choice>
        </mc:AlternateContent>
        <mc:AlternateContent xmlns:mc="http://schemas.openxmlformats.org/markup-compatibility/2006">
          <mc:Choice Requires="x14">
            <control shapeId="545943" r:id="rId69" name="Drop Down 151">
              <controlPr defaultSize="0" autoLine="0" autoPict="0" macro="[0]!Scroll">
                <anchor moveWithCells="1">
                  <from>
                    <xdr:col>2</xdr:col>
                    <xdr:colOff>190500</xdr:colOff>
                    <xdr:row>84</xdr:row>
                    <xdr:rowOff>76200</xdr:rowOff>
                  </from>
                  <to>
                    <xdr:col>2</xdr:col>
                    <xdr:colOff>3429000</xdr:colOff>
                    <xdr:row>84</xdr:row>
                    <xdr:rowOff>333375</xdr:rowOff>
                  </to>
                </anchor>
              </controlPr>
            </control>
          </mc:Choice>
        </mc:AlternateContent>
        <mc:AlternateContent xmlns:mc="http://schemas.openxmlformats.org/markup-compatibility/2006">
          <mc:Choice Requires="x14">
            <control shapeId="545944" r:id="rId70" name="Drop Down 152">
              <controlPr defaultSize="0" autoLine="0" autoPict="0" macro="[0]!Scroll">
                <anchor moveWithCells="1">
                  <from>
                    <xdr:col>2</xdr:col>
                    <xdr:colOff>190500</xdr:colOff>
                    <xdr:row>85</xdr:row>
                    <xdr:rowOff>76200</xdr:rowOff>
                  </from>
                  <to>
                    <xdr:col>2</xdr:col>
                    <xdr:colOff>3429000</xdr:colOff>
                    <xdr:row>85</xdr:row>
                    <xdr:rowOff>333375</xdr:rowOff>
                  </to>
                </anchor>
              </controlPr>
            </control>
          </mc:Choice>
        </mc:AlternateContent>
        <mc:AlternateContent xmlns:mc="http://schemas.openxmlformats.org/markup-compatibility/2006">
          <mc:Choice Requires="x14">
            <control shapeId="545945" r:id="rId71" name="Drop Down 153">
              <controlPr defaultSize="0" autoLine="0" autoPict="0" macro="[0]!Scroll">
                <anchor moveWithCells="1">
                  <from>
                    <xdr:col>2</xdr:col>
                    <xdr:colOff>190500</xdr:colOff>
                    <xdr:row>86</xdr:row>
                    <xdr:rowOff>76200</xdr:rowOff>
                  </from>
                  <to>
                    <xdr:col>2</xdr:col>
                    <xdr:colOff>3429000</xdr:colOff>
                    <xdr:row>86</xdr:row>
                    <xdr:rowOff>333375</xdr:rowOff>
                  </to>
                </anchor>
              </controlPr>
            </control>
          </mc:Choice>
        </mc:AlternateContent>
        <mc:AlternateContent xmlns:mc="http://schemas.openxmlformats.org/markup-compatibility/2006">
          <mc:Choice Requires="x14">
            <control shapeId="545946" r:id="rId72" name="Drop Down 154">
              <controlPr defaultSize="0" autoLine="0" autoPict="0" macro="[0]!Scroll">
                <anchor moveWithCells="1">
                  <from>
                    <xdr:col>2</xdr:col>
                    <xdr:colOff>190500</xdr:colOff>
                    <xdr:row>87</xdr:row>
                    <xdr:rowOff>76200</xdr:rowOff>
                  </from>
                  <to>
                    <xdr:col>2</xdr:col>
                    <xdr:colOff>3429000</xdr:colOff>
                    <xdr:row>87</xdr:row>
                    <xdr:rowOff>333375</xdr:rowOff>
                  </to>
                </anchor>
              </controlPr>
            </control>
          </mc:Choice>
        </mc:AlternateContent>
        <mc:AlternateContent xmlns:mc="http://schemas.openxmlformats.org/markup-compatibility/2006">
          <mc:Choice Requires="x14">
            <control shapeId="545947" r:id="rId73" name="Drop Down 155">
              <controlPr defaultSize="0" autoLine="0" autoPict="0" macro="[0]!Scroll">
                <anchor moveWithCells="1">
                  <from>
                    <xdr:col>2</xdr:col>
                    <xdr:colOff>190500</xdr:colOff>
                    <xdr:row>88</xdr:row>
                    <xdr:rowOff>76200</xdr:rowOff>
                  </from>
                  <to>
                    <xdr:col>2</xdr:col>
                    <xdr:colOff>3429000</xdr:colOff>
                    <xdr:row>88</xdr:row>
                    <xdr:rowOff>333375</xdr:rowOff>
                  </to>
                </anchor>
              </controlPr>
            </control>
          </mc:Choice>
        </mc:AlternateContent>
        <mc:AlternateContent xmlns:mc="http://schemas.openxmlformats.org/markup-compatibility/2006">
          <mc:Choice Requires="x14">
            <control shapeId="545948" r:id="rId74" name="Drop Down 156">
              <controlPr defaultSize="0" autoLine="0" autoPict="0" macro="[0]!Scroll2">
                <anchor moveWithCells="1">
                  <from>
                    <xdr:col>2</xdr:col>
                    <xdr:colOff>190500</xdr:colOff>
                    <xdr:row>89</xdr:row>
                    <xdr:rowOff>76200</xdr:rowOff>
                  </from>
                  <to>
                    <xdr:col>2</xdr:col>
                    <xdr:colOff>3429000</xdr:colOff>
                    <xdr:row>89</xdr:row>
                    <xdr:rowOff>333375</xdr:rowOff>
                  </to>
                </anchor>
              </controlPr>
            </control>
          </mc:Choice>
        </mc:AlternateContent>
        <mc:AlternateContent xmlns:mc="http://schemas.openxmlformats.org/markup-compatibility/2006">
          <mc:Choice Requires="x14">
            <control shapeId="545949" r:id="rId75" name="Drop Down 157">
              <controlPr defaultSize="0" autoLine="0" autoPict="0" macro="[0]!Scroll">
                <anchor moveWithCells="1">
                  <from>
                    <xdr:col>2</xdr:col>
                    <xdr:colOff>190500</xdr:colOff>
                    <xdr:row>91</xdr:row>
                    <xdr:rowOff>76200</xdr:rowOff>
                  </from>
                  <to>
                    <xdr:col>2</xdr:col>
                    <xdr:colOff>3429000</xdr:colOff>
                    <xdr:row>91</xdr:row>
                    <xdr:rowOff>333375</xdr:rowOff>
                  </to>
                </anchor>
              </controlPr>
            </control>
          </mc:Choice>
        </mc:AlternateContent>
        <mc:AlternateContent xmlns:mc="http://schemas.openxmlformats.org/markup-compatibility/2006">
          <mc:Choice Requires="x14">
            <control shapeId="545950" r:id="rId76" name="Drop Down 158">
              <controlPr defaultSize="0" autoLine="0" autoPict="0" macro="[0]!Scroll">
                <anchor moveWithCells="1">
                  <from>
                    <xdr:col>2</xdr:col>
                    <xdr:colOff>190500</xdr:colOff>
                    <xdr:row>92</xdr:row>
                    <xdr:rowOff>76200</xdr:rowOff>
                  </from>
                  <to>
                    <xdr:col>2</xdr:col>
                    <xdr:colOff>3429000</xdr:colOff>
                    <xdr:row>92</xdr:row>
                    <xdr:rowOff>333375</xdr:rowOff>
                  </to>
                </anchor>
              </controlPr>
            </control>
          </mc:Choice>
        </mc:AlternateContent>
        <mc:AlternateContent xmlns:mc="http://schemas.openxmlformats.org/markup-compatibility/2006">
          <mc:Choice Requires="x14">
            <control shapeId="545951" r:id="rId77" name="Drop Down 159">
              <controlPr defaultSize="0" autoLine="0" autoPict="0" macro="[0]!Scroll">
                <anchor moveWithCells="1">
                  <from>
                    <xdr:col>2</xdr:col>
                    <xdr:colOff>190500</xdr:colOff>
                    <xdr:row>93</xdr:row>
                    <xdr:rowOff>76200</xdr:rowOff>
                  </from>
                  <to>
                    <xdr:col>2</xdr:col>
                    <xdr:colOff>3429000</xdr:colOff>
                    <xdr:row>93</xdr:row>
                    <xdr:rowOff>333375</xdr:rowOff>
                  </to>
                </anchor>
              </controlPr>
            </control>
          </mc:Choice>
        </mc:AlternateContent>
        <mc:AlternateContent xmlns:mc="http://schemas.openxmlformats.org/markup-compatibility/2006">
          <mc:Choice Requires="x14">
            <control shapeId="545952" r:id="rId78" name="Drop Down 160">
              <controlPr defaultSize="0" autoLine="0" autoPict="0" macro="[0]!Scroll">
                <anchor moveWithCells="1">
                  <from>
                    <xdr:col>2</xdr:col>
                    <xdr:colOff>190500</xdr:colOff>
                    <xdr:row>94</xdr:row>
                    <xdr:rowOff>76200</xdr:rowOff>
                  </from>
                  <to>
                    <xdr:col>2</xdr:col>
                    <xdr:colOff>3429000</xdr:colOff>
                    <xdr:row>94</xdr:row>
                    <xdr:rowOff>333375</xdr:rowOff>
                  </to>
                </anchor>
              </controlPr>
            </control>
          </mc:Choice>
        </mc:AlternateContent>
        <mc:AlternateContent xmlns:mc="http://schemas.openxmlformats.org/markup-compatibility/2006">
          <mc:Choice Requires="x14">
            <control shapeId="545953" r:id="rId79" name="Drop Down 161">
              <controlPr defaultSize="0" autoLine="0" autoPict="0" macro="[0]!Scroll">
                <anchor moveWithCells="1">
                  <from>
                    <xdr:col>2</xdr:col>
                    <xdr:colOff>190500</xdr:colOff>
                    <xdr:row>95</xdr:row>
                    <xdr:rowOff>76200</xdr:rowOff>
                  </from>
                  <to>
                    <xdr:col>2</xdr:col>
                    <xdr:colOff>3429000</xdr:colOff>
                    <xdr:row>95</xdr:row>
                    <xdr:rowOff>333375</xdr:rowOff>
                  </to>
                </anchor>
              </controlPr>
            </control>
          </mc:Choice>
        </mc:AlternateContent>
        <mc:AlternateContent xmlns:mc="http://schemas.openxmlformats.org/markup-compatibility/2006">
          <mc:Choice Requires="x14">
            <control shapeId="545954" r:id="rId80" name="Drop Down 162">
              <controlPr defaultSize="0" autoLine="0" autoPict="0" macro="[0]!Scroll2">
                <anchor moveWithCells="1">
                  <from>
                    <xdr:col>2</xdr:col>
                    <xdr:colOff>190500</xdr:colOff>
                    <xdr:row>96</xdr:row>
                    <xdr:rowOff>76200</xdr:rowOff>
                  </from>
                  <to>
                    <xdr:col>2</xdr:col>
                    <xdr:colOff>3429000</xdr:colOff>
                    <xdr:row>96</xdr:row>
                    <xdr:rowOff>333375</xdr:rowOff>
                  </to>
                </anchor>
              </controlPr>
            </control>
          </mc:Choice>
        </mc:AlternateContent>
        <mc:AlternateContent xmlns:mc="http://schemas.openxmlformats.org/markup-compatibility/2006">
          <mc:Choice Requires="x14">
            <control shapeId="545955" r:id="rId81" name="Drop Down 163">
              <controlPr defaultSize="0" autoLine="0" autoPict="0" macro="[0]!Scroll">
                <anchor moveWithCells="1">
                  <from>
                    <xdr:col>2</xdr:col>
                    <xdr:colOff>190500</xdr:colOff>
                    <xdr:row>98</xdr:row>
                    <xdr:rowOff>76200</xdr:rowOff>
                  </from>
                  <to>
                    <xdr:col>2</xdr:col>
                    <xdr:colOff>3429000</xdr:colOff>
                    <xdr:row>98</xdr:row>
                    <xdr:rowOff>333375</xdr:rowOff>
                  </to>
                </anchor>
              </controlPr>
            </control>
          </mc:Choice>
        </mc:AlternateContent>
        <mc:AlternateContent xmlns:mc="http://schemas.openxmlformats.org/markup-compatibility/2006">
          <mc:Choice Requires="x14">
            <control shapeId="545956" r:id="rId82" name="Drop Down 164">
              <controlPr defaultSize="0" autoLine="0" autoPict="0" macro="[0]!Scroll">
                <anchor moveWithCells="1">
                  <from>
                    <xdr:col>2</xdr:col>
                    <xdr:colOff>190500</xdr:colOff>
                    <xdr:row>99</xdr:row>
                    <xdr:rowOff>76200</xdr:rowOff>
                  </from>
                  <to>
                    <xdr:col>2</xdr:col>
                    <xdr:colOff>3429000</xdr:colOff>
                    <xdr:row>99</xdr:row>
                    <xdr:rowOff>333375</xdr:rowOff>
                  </to>
                </anchor>
              </controlPr>
            </control>
          </mc:Choice>
        </mc:AlternateContent>
        <mc:AlternateContent xmlns:mc="http://schemas.openxmlformats.org/markup-compatibility/2006">
          <mc:Choice Requires="x14">
            <control shapeId="545957" r:id="rId83" name="Drop Down 165">
              <controlPr defaultSize="0" autoLine="0" autoPict="0" macro="[0]!Scroll">
                <anchor moveWithCells="1">
                  <from>
                    <xdr:col>2</xdr:col>
                    <xdr:colOff>190500</xdr:colOff>
                    <xdr:row>100</xdr:row>
                    <xdr:rowOff>76200</xdr:rowOff>
                  </from>
                  <to>
                    <xdr:col>2</xdr:col>
                    <xdr:colOff>3429000</xdr:colOff>
                    <xdr:row>100</xdr:row>
                    <xdr:rowOff>333375</xdr:rowOff>
                  </to>
                </anchor>
              </controlPr>
            </control>
          </mc:Choice>
        </mc:AlternateContent>
        <mc:AlternateContent xmlns:mc="http://schemas.openxmlformats.org/markup-compatibility/2006">
          <mc:Choice Requires="x14">
            <control shapeId="545958" r:id="rId84" name="Drop Down 166">
              <controlPr defaultSize="0" autoLine="0" autoPict="0" macro="[0]!Scroll">
                <anchor moveWithCells="1">
                  <from>
                    <xdr:col>2</xdr:col>
                    <xdr:colOff>190500</xdr:colOff>
                    <xdr:row>101</xdr:row>
                    <xdr:rowOff>76200</xdr:rowOff>
                  </from>
                  <to>
                    <xdr:col>2</xdr:col>
                    <xdr:colOff>3429000</xdr:colOff>
                    <xdr:row>101</xdr:row>
                    <xdr:rowOff>333375</xdr:rowOff>
                  </to>
                </anchor>
              </controlPr>
            </control>
          </mc:Choice>
        </mc:AlternateContent>
        <mc:AlternateContent xmlns:mc="http://schemas.openxmlformats.org/markup-compatibility/2006">
          <mc:Choice Requires="x14">
            <control shapeId="545959" r:id="rId85" name="Drop Down 167">
              <controlPr defaultSize="0" autoLine="0" autoPict="0" macro="[0]!Scroll">
                <anchor moveWithCells="1">
                  <from>
                    <xdr:col>2</xdr:col>
                    <xdr:colOff>190500</xdr:colOff>
                    <xdr:row>102</xdr:row>
                    <xdr:rowOff>76200</xdr:rowOff>
                  </from>
                  <to>
                    <xdr:col>2</xdr:col>
                    <xdr:colOff>3429000</xdr:colOff>
                    <xdr:row>102</xdr:row>
                    <xdr:rowOff>333375</xdr:rowOff>
                  </to>
                </anchor>
              </controlPr>
            </control>
          </mc:Choice>
        </mc:AlternateContent>
        <mc:AlternateContent xmlns:mc="http://schemas.openxmlformats.org/markup-compatibility/2006">
          <mc:Choice Requires="x14">
            <control shapeId="545960" r:id="rId86" name="Drop Down 168">
              <controlPr defaultSize="0" autoLine="0" autoPict="0" macro="[0]!Scroll2">
                <anchor moveWithCells="1">
                  <from>
                    <xdr:col>2</xdr:col>
                    <xdr:colOff>190500</xdr:colOff>
                    <xdr:row>103</xdr:row>
                    <xdr:rowOff>76200</xdr:rowOff>
                  </from>
                  <to>
                    <xdr:col>2</xdr:col>
                    <xdr:colOff>3429000</xdr:colOff>
                    <xdr:row>103</xdr:row>
                    <xdr:rowOff>333375</xdr:rowOff>
                  </to>
                </anchor>
              </controlPr>
            </control>
          </mc:Choice>
        </mc:AlternateContent>
        <mc:AlternateContent xmlns:mc="http://schemas.openxmlformats.org/markup-compatibility/2006">
          <mc:Choice Requires="x14">
            <control shapeId="545962" r:id="rId87" name="Button 170">
              <controlPr defaultSize="0" print="0" autoFill="0" autoPict="0" macro="[0]!Archivage1">
                <anchor>
                  <from>
                    <xdr:col>1</xdr:col>
                    <xdr:colOff>3381375</xdr:colOff>
                    <xdr:row>108</xdr:row>
                    <xdr:rowOff>9525</xdr:rowOff>
                  </from>
                  <to>
                    <xdr:col>2</xdr:col>
                    <xdr:colOff>38100</xdr:colOff>
                    <xdr:row>111</xdr:row>
                    <xdr:rowOff>76200</xdr:rowOff>
                  </to>
                </anchor>
              </controlPr>
            </control>
          </mc:Choice>
        </mc:AlternateContent>
        <mc:AlternateContent xmlns:mc="http://schemas.openxmlformats.org/markup-compatibility/2006">
          <mc:Choice Requires="x14">
            <control shapeId="545964" r:id="rId88" name="Button 172">
              <controlPr defaultSize="0" print="0" autoFill="0" autoPict="0" macro="[0]!Accueil">
                <anchor>
                  <from>
                    <xdr:col>2</xdr:col>
                    <xdr:colOff>257175</xdr:colOff>
                    <xdr:row>0</xdr:row>
                    <xdr:rowOff>76200</xdr:rowOff>
                  </from>
                  <to>
                    <xdr:col>2</xdr:col>
                    <xdr:colOff>2352675</xdr:colOff>
                    <xdr:row>0</xdr:row>
                    <xdr:rowOff>542925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1E97-88DF-4E1B-A6AC-DE5E46C62A06}">
  <sheetPr codeName="Feuil29"/>
  <dimension ref="A2:Z26"/>
  <sheetViews>
    <sheetView showGridLines="0" showRowColHeaders="0" zoomScale="91" zoomScaleNormal="91" workbookViewId="0"/>
  </sheetViews>
  <sheetFormatPr baseColWidth="10" defaultColWidth="11.42578125" defaultRowHeight="12.75"/>
  <cols>
    <col min="1" max="1" width="6.85546875" style="391" customWidth="1"/>
    <col min="2" max="11" width="11.42578125" style="391"/>
    <col min="12" max="12" width="11.42578125" style="402"/>
    <col min="13" max="14" width="11.42578125" style="403"/>
    <col min="15" max="16384" width="11.42578125" style="391"/>
  </cols>
  <sheetData>
    <row r="2" spans="1:26" ht="39" customHeight="1">
      <c r="B2" s="389" t="s">
        <v>750</v>
      </c>
      <c r="C2" s="390"/>
      <c r="D2" s="390"/>
      <c r="E2" s="390"/>
      <c r="F2" s="390"/>
      <c r="G2" s="390"/>
    </row>
    <row r="3" spans="1:26" s="392" customFormat="1" ht="16.5" customHeight="1">
      <c r="B3" s="393" t="s">
        <v>772</v>
      </c>
      <c r="C3" s="393"/>
      <c r="D3" s="393"/>
      <c r="E3" s="393"/>
      <c r="F3" s="393"/>
      <c r="G3" s="393"/>
      <c r="H3" s="394"/>
      <c r="L3" s="404"/>
      <c r="M3" s="405"/>
      <c r="N3" s="405"/>
    </row>
    <row r="4" spans="1:26" s="392" customFormat="1" ht="16.5" customHeight="1">
      <c r="B4" s="393" t="s">
        <v>751</v>
      </c>
      <c r="C4" s="393"/>
      <c r="D4" s="393"/>
      <c r="E4" s="393"/>
      <c r="F4" s="393"/>
      <c r="G4" s="393"/>
      <c r="H4" s="394"/>
      <c r="L4" s="404"/>
      <c r="M4" s="405"/>
      <c r="N4" s="405"/>
    </row>
    <row r="5" spans="1:26" s="392" customFormat="1" ht="16.5" customHeight="1">
      <c r="B5" s="393" t="s">
        <v>752</v>
      </c>
      <c r="C5" s="393"/>
      <c r="D5" s="393"/>
      <c r="E5" s="393"/>
      <c r="F5" s="393"/>
      <c r="G5" s="393"/>
      <c r="H5" s="394"/>
      <c r="L5" s="404"/>
      <c r="M5" s="405"/>
      <c r="N5" s="405"/>
    </row>
    <row r="6" spans="1:26" s="392" customFormat="1" ht="16.5" customHeight="1">
      <c r="B6" s="393" t="s">
        <v>753</v>
      </c>
      <c r="C6" s="393"/>
      <c r="D6" s="393"/>
      <c r="E6" s="393"/>
      <c r="F6" s="393"/>
      <c r="G6" s="393"/>
      <c r="H6" s="394"/>
      <c r="L6" s="408"/>
      <c r="M6" s="409"/>
      <c r="N6" s="409"/>
      <c r="O6" s="409"/>
    </row>
    <row r="7" spans="1:26" s="392" customFormat="1" ht="16.5" customHeight="1">
      <c r="B7" s="393" t="s">
        <v>754</v>
      </c>
      <c r="C7" s="393"/>
      <c r="D7" s="393"/>
      <c r="E7" s="393"/>
      <c r="F7" s="393"/>
      <c r="G7" s="393"/>
      <c r="H7" s="394"/>
      <c r="L7" s="408"/>
      <c r="M7" s="409"/>
      <c r="N7" s="409"/>
      <c r="O7" s="409"/>
    </row>
    <row r="8" spans="1:26" s="392" customFormat="1" ht="16.5" customHeight="1">
      <c r="B8" s="393" t="s">
        <v>755</v>
      </c>
      <c r="C8" s="393"/>
      <c r="D8" s="393"/>
      <c r="E8" s="393"/>
      <c r="F8" s="393"/>
      <c r="G8" s="393"/>
      <c r="H8" s="394"/>
      <c r="L8" s="408"/>
      <c r="M8" s="409"/>
      <c r="N8" s="409"/>
      <c r="O8" s="409"/>
    </row>
    <row r="9" spans="1:26" s="392" customFormat="1" ht="16.5" customHeight="1">
      <c r="B9" s="393" t="s">
        <v>756</v>
      </c>
      <c r="C9" s="393"/>
      <c r="D9" s="393"/>
      <c r="E9" s="393"/>
      <c r="F9" s="393"/>
      <c r="G9" s="393"/>
      <c r="H9" s="394"/>
      <c r="L9" s="408"/>
      <c r="M9" s="409"/>
      <c r="N9" s="409"/>
      <c r="O9" s="409"/>
    </row>
    <row r="10" spans="1:26">
      <c r="L10" s="410"/>
      <c r="M10" s="411"/>
      <c r="N10" s="411"/>
      <c r="O10" s="411"/>
    </row>
    <row r="11" spans="1:26" ht="34.5" customHeight="1">
      <c r="A11" s="395">
        <v>1</v>
      </c>
      <c r="B11" s="498" t="s">
        <v>757</v>
      </c>
      <c r="C11" s="499"/>
      <c r="D11" s="499"/>
      <c r="E11" s="499"/>
      <c r="F11" s="499"/>
      <c r="G11" s="499"/>
      <c r="H11" s="500"/>
      <c r="L11" s="406" t="str">
        <f>IF(Z11="","",1)</f>
        <v/>
      </c>
      <c r="M11" s="407"/>
      <c r="N11" s="407" t="str">
        <f>IF(Z11="","",4-Z11)</f>
        <v/>
      </c>
      <c r="O11" s="412"/>
      <c r="P11" s="396"/>
      <c r="Z11" s="401"/>
    </row>
    <row r="12" spans="1:26" ht="34.5" customHeight="1">
      <c r="A12" s="395">
        <v>2</v>
      </c>
      <c r="B12" s="498" t="s">
        <v>758</v>
      </c>
      <c r="C12" s="499"/>
      <c r="D12" s="499"/>
      <c r="E12" s="499"/>
      <c r="F12" s="499"/>
      <c r="G12" s="499"/>
      <c r="H12" s="500"/>
      <c r="L12" s="406" t="str">
        <f t="shared" ref="L12:L24" si="0">IF(Z12="","",1)</f>
        <v/>
      </c>
      <c r="M12" s="407"/>
      <c r="N12" s="407" t="str">
        <f t="shared" ref="N12:N24" si="1">IF(Z12="","",4-Z12)</f>
        <v/>
      </c>
      <c r="O12" s="412"/>
      <c r="P12" s="396"/>
      <c r="Z12" s="401"/>
    </row>
    <row r="13" spans="1:26" ht="34.5" customHeight="1">
      <c r="A13" s="395">
        <v>3</v>
      </c>
      <c r="B13" s="498" t="s">
        <v>759</v>
      </c>
      <c r="C13" s="499"/>
      <c r="D13" s="499"/>
      <c r="E13" s="499"/>
      <c r="F13" s="499"/>
      <c r="G13" s="499"/>
      <c r="H13" s="500"/>
      <c r="L13" s="406" t="str">
        <f t="shared" si="0"/>
        <v/>
      </c>
      <c r="M13" s="407"/>
      <c r="N13" s="407" t="str">
        <f t="shared" si="1"/>
        <v/>
      </c>
      <c r="O13" s="412"/>
      <c r="P13" s="396"/>
      <c r="Z13" s="401"/>
    </row>
    <row r="14" spans="1:26" ht="34.5" customHeight="1">
      <c r="A14" s="395">
        <v>4</v>
      </c>
      <c r="B14" s="498" t="s">
        <v>770</v>
      </c>
      <c r="C14" s="499"/>
      <c r="D14" s="499"/>
      <c r="E14" s="499"/>
      <c r="F14" s="499"/>
      <c r="G14" s="499"/>
      <c r="H14" s="500"/>
      <c r="L14" s="406" t="str">
        <f t="shared" si="0"/>
        <v/>
      </c>
      <c r="M14" s="407"/>
      <c r="N14" s="407" t="str">
        <f t="shared" si="1"/>
        <v/>
      </c>
      <c r="O14" s="413" t="s">
        <v>769</v>
      </c>
      <c r="P14" s="397" t="str">
        <f>IF(L25&lt;14,"",SUM(N11:N24))</f>
        <v/>
      </c>
      <c r="Z14" s="401"/>
    </row>
    <row r="15" spans="1:26" ht="34.5" customHeight="1">
      <c r="A15" s="395">
        <v>5</v>
      </c>
      <c r="B15" s="498" t="s">
        <v>760</v>
      </c>
      <c r="C15" s="499"/>
      <c r="D15" s="499"/>
      <c r="E15" s="499"/>
      <c r="F15" s="499"/>
      <c r="G15" s="499"/>
      <c r="H15" s="500"/>
      <c r="L15" s="406" t="str">
        <f t="shared" si="0"/>
        <v/>
      </c>
      <c r="M15" s="407"/>
      <c r="N15" s="407" t="str">
        <f t="shared" si="1"/>
        <v/>
      </c>
      <c r="O15" s="412"/>
      <c r="P15" s="396"/>
      <c r="Z15" s="401"/>
    </row>
    <row r="16" spans="1:26" ht="34.5" customHeight="1">
      <c r="A16" s="395">
        <v>6</v>
      </c>
      <c r="B16" s="398" t="s">
        <v>761</v>
      </c>
      <c r="C16" s="399"/>
      <c r="D16" s="399"/>
      <c r="E16" s="399"/>
      <c r="F16" s="399"/>
      <c r="G16" s="399"/>
      <c r="H16" s="400"/>
      <c r="L16" s="406" t="str">
        <f>IF(Z16="","",1)</f>
        <v/>
      </c>
      <c r="M16" s="407"/>
      <c r="N16" s="407" t="str">
        <f>IF(Z16="","",Z16-1)</f>
        <v/>
      </c>
      <c r="O16" s="412"/>
      <c r="P16" s="396"/>
      <c r="Z16" s="401"/>
    </row>
    <row r="17" spans="1:26" ht="34.5" customHeight="1">
      <c r="A17" s="395">
        <v>7</v>
      </c>
      <c r="B17" s="498" t="s">
        <v>762</v>
      </c>
      <c r="C17" s="501"/>
      <c r="D17" s="501"/>
      <c r="E17" s="501"/>
      <c r="F17" s="501"/>
      <c r="G17" s="501"/>
      <c r="H17" s="502"/>
      <c r="L17" s="406" t="str">
        <f t="shared" si="0"/>
        <v/>
      </c>
      <c r="M17" s="407"/>
      <c r="N17" s="407" t="str">
        <f t="shared" si="1"/>
        <v/>
      </c>
      <c r="O17" s="412"/>
      <c r="P17" s="396"/>
      <c r="Z17" s="401"/>
    </row>
    <row r="18" spans="1:26" ht="34.5" customHeight="1">
      <c r="A18" s="395">
        <v>8</v>
      </c>
      <c r="B18" s="398" t="s">
        <v>771</v>
      </c>
      <c r="C18" s="399"/>
      <c r="D18" s="399"/>
      <c r="E18" s="399"/>
      <c r="F18" s="399"/>
      <c r="G18" s="399"/>
      <c r="H18" s="400"/>
      <c r="L18" s="406" t="str">
        <f t="shared" si="0"/>
        <v/>
      </c>
      <c r="M18" s="407"/>
      <c r="N18" s="407" t="str">
        <f t="shared" si="1"/>
        <v/>
      </c>
      <c r="O18" s="412"/>
      <c r="P18" s="396"/>
      <c r="Z18" s="401"/>
    </row>
    <row r="19" spans="1:26" ht="34.5" customHeight="1">
      <c r="A19" s="395">
        <v>9</v>
      </c>
      <c r="B19" s="498" t="s">
        <v>763</v>
      </c>
      <c r="C19" s="499"/>
      <c r="D19" s="499"/>
      <c r="E19" s="499"/>
      <c r="F19" s="499"/>
      <c r="G19" s="499"/>
      <c r="H19" s="500"/>
      <c r="L19" s="406" t="str">
        <f t="shared" si="0"/>
        <v/>
      </c>
      <c r="M19" s="407"/>
      <c r="N19" s="407" t="str">
        <f t="shared" si="1"/>
        <v/>
      </c>
      <c r="O19" s="412"/>
      <c r="P19" s="396"/>
      <c r="Z19" s="401"/>
    </row>
    <row r="20" spans="1:26" ht="34.5" customHeight="1">
      <c r="A20" s="395">
        <v>10</v>
      </c>
      <c r="B20" s="498" t="s">
        <v>764</v>
      </c>
      <c r="C20" s="499"/>
      <c r="D20" s="499"/>
      <c r="E20" s="499"/>
      <c r="F20" s="499"/>
      <c r="G20" s="499"/>
      <c r="H20" s="500"/>
      <c r="L20" s="406" t="str">
        <f t="shared" si="0"/>
        <v/>
      </c>
      <c r="M20" s="407"/>
      <c r="N20" s="407" t="str">
        <f t="shared" si="1"/>
        <v/>
      </c>
      <c r="O20" s="412"/>
      <c r="P20" s="396"/>
      <c r="Z20" s="401"/>
    </row>
    <row r="21" spans="1:26" ht="34.5" customHeight="1">
      <c r="A21" s="395">
        <v>11</v>
      </c>
      <c r="B21" s="498" t="s">
        <v>765</v>
      </c>
      <c r="C21" s="499"/>
      <c r="D21" s="499"/>
      <c r="E21" s="499"/>
      <c r="F21" s="499"/>
      <c r="G21" s="499"/>
      <c r="H21" s="500"/>
      <c r="L21" s="406" t="str">
        <f t="shared" si="0"/>
        <v/>
      </c>
      <c r="M21" s="407"/>
      <c r="N21" s="407" t="str">
        <f t="shared" si="1"/>
        <v/>
      </c>
      <c r="O21" s="412"/>
      <c r="P21" s="396"/>
      <c r="Z21" s="401"/>
    </row>
    <row r="22" spans="1:26" ht="34.5" customHeight="1">
      <c r="A22" s="395">
        <v>12</v>
      </c>
      <c r="B22" s="398" t="s">
        <v>766</v>
      </c>
      <c r="C22" s="399"/>
      <c r="D22" s="399"/>
      <c r="E22" s="399"/>
      <c r="F22" s="399"/>
      <c r="G22" s="399"/>
      <c r="H22" s="400"/>
      <c r="L22" s="406" t="str">
        <f t="shared" si="0"/>
        <v/>
      </c>
      <c r="M22" s="407"/>
      <c r="N22" s="407" t="str">
        <f t="shared" si="1"/>
        <v/>
      </c>
      <c r="O22" s="412"/>
      <c r="P22" s="396"/>
      <c r="Z22" s="401"/>
    </row>
    <row r="23" spans="1:26" ht="34.5" customHeight="1">
      <c r="A23" s="395">
        <v>13</v>
      </c>
      <c r="B23" s="498" t="s">
        <v>767</v>
      </c>
      <c r="C23" s="499"/>
      <c r="D23" s="499"/>
      <c r="E23" s="499"/>
      <c r="F23" s="499"/>
      <c r="G23" s="499"/>
      <c r="H23" s="500"/>
      <c r="L23" s="406" t="str">
        <f t="shared" si="0"/>
        <v/>
      </c>
      <c r="M23" s="407"/>
      <c r="N23" s="407" t="str">
        <f t="shared" si="1"/>
        <v/>
      </c>
      <c r="O23" s="412"/>
      <c r="P23" s="396"/>
      <c r="Z23" s="401"/>
    </row>
    <row r="24" spans="1:26" ht="34.5" customHeight="1">
      <c r="A24" s="395">
        <v>14</v>
      </c>
      <c r="B24" s="498" t="s">
        <v>768</v>
      </c>
      <c r="C24" s="499"/>
      <c r="D24" s="499"/>
      <c r="E24" s="499"/>
      <c r="F24" s="499"/>
      <c r="G24" s="499"/>
      <c r="H24" s="500"/>
      <c r="L24" s="406" t="str">
        <f t="shared" si="0"/>
        <v/>
      </c>
      <c r="M24" s="407"/>
      <c r="N24" s="407" t="str">
        <f t="shared" si="1"/>
        <v/>
      </c>
      <c r="O24" s="412"/>
      <c r="P24" s="396"/>
      <c r="Z24" s="401"/>
    </row>
    <row r="25" spans="1:26" ht="20.25">
      <c r="L25" s="406">
        <f>SUM(L11:L24)</f>
        <v>0</v>
      </c>
      <c r="M25" s="407"/>
      <c r="N25" s="407"/>
      <c r="O25" s="412"/>
      <c r="P25" s="396"/>
    </row>
    <row r="26" spans="1:26">
      <c r="L26" s="410"/>
      <c r="M26" s="411"/>
      <c r="N26" s="411"/>
      <c r="O26" s="411"/>
    </row>
  </sheetData>
  <sheetProtection sheet="1" objects="1" scenarios="1" selectLockedCells="1" selectUnlockedCells="1"/>
  <mergeCells count="11">
    <mergeCell ref="B23:H23"/>
    <mergeCell ref="B24:H24"/>
    <mergeCell ref="B17:H17"/>
    <mergeCell ref="B11:H11"/>
    <mergeCell ref="B12:H12"/>
    <mergeCell ref="B13:H13"/>
    <mergeCell ref="B14:H14"/>
    <mergeCell ref="B15:H15"/>
    <mergeCell ref="B19:H19"/>
    <mergeCell ref="B20:H20"/>
    <mergeCell ref="B21:H2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47170" r:id="rId3" name="Drop Down 2">
              <controlPr defaultSize="0" autoLine="0" autoPict="0">
                <anchor moveWithCells="1">
                  <from>
                    <xdr:col>8</xdr:col>
                    <xdr:colOff>123825</xdr:colOff>
                    <xdr:row>10</xdr:row>
                    <xdr:rowOff>95250</xdr:rowOff>
                  </from>
                  <to>
                    <xdr:col>11</xdr:col>
                    <xdr:colOff>419100</xdr:colOff>
                    <xdr:row>10</xdr:row>
                    <xdr:rowOff>333375</xdr:rowOff>
                  </to>
                </anchor>
              </controlPr>
            </control>
          </mc:Choice>
        </mc:AlternateContent>
        <mc:AlternateContent xmlns:mc="http://schemas.openxmlformats.org/markup-compatibility/2006">
          <mc:Choice Requires="x14">
            <control shapeId="647171" r:id="rId4" name="Drop Down 3">
              <controlPr defaultSize="0" autoLine="0" autoPict="0">
                <anchor moveWithCells="1">
                  <from>
                    <xdr:col>8</xdr:col>
                    <xdr:colOff>123825</xdr:colOff>
                    <xdr:row>11</xdr:row>
                    <xdr:rowOff>104775</xdr:rowOff>
                  </from>
                  <to>
                    <xdr:col>11</xdr:col>
                    <xdr:colOff>419100</xdr:colOff>
                    <xdr:row>11</xdr:row>
                    <xdr:rowOff>352425</xdr:rowOff>
                  </to>
                </anchor>
              </controlPr>
            </control>
          </mc:Choice>
        </mc:AlternateContent>
        <mc:AlternateContent xmlns:mc="http://schemas.openxmlformats.org/markup-compatibility/2006">
          <mc:Choice Requires="x14">
            <control shapeId="647172" r:id="rId5" name="Drop Down 4">
              <controlPr defaultSize="0" autoLine="0" autoPict="0">
                <anchor moveWithCells="1">
                  <from>
                    <xdr:col>8</xdr:col>
                    <xdr:colOff>123825</xdr:colOff>
                    <xdr:row>12</xdr:row>
                    <xdr:rowOff>95250</xdr:rowOff>
                  </from>
                  <to>
                    <xdr:col>11</xdr:col>
                    <xdr:colOff>419100</xdr:colOff>
                    <xdr:row>12</xdr:row>
                    <xdr:rowOff>333375</xdr:rowOff>
                  </to>
                </anchor>
              </controlPr>
            </control>
          </mc:Choice>
        </mc:AlternateContent>
        <mc:AlternateContent xmlns:mc="http://schemas.openxmlformats.org/markup-compatibility/2006">
          <mc:Choice Requires="x14">
            <control shapeId="647173" r:id="rId6" name="Drop Down 5">
              <controlPr defaultSize="0" autoLine="0" autoPict="0">
                <anchor moveWithCells="1">
                  <from>
                    <xdr:col>8</xdr:col>
                    <xdr:colOff>123825</xdr:colOff>
                    <xdr:row>13</xdr:row>
                    <xdr:rowOff>104775</xdr:rowOff>
                  </from>
                  <to>
                    <xdr:col>11</xdr:col>
                    <xdr:colOff>419100</xdr:colOff>
                    <xdr:row>13</xdr:row>
                    <xdr:rowOff>352425</xdr:rowOff>
                  </to>
                </anchor>
              </controlPr>
            </control>
          </mc:Choice>
        </mc:AlternateContent>
        <mc:AlternateContent xmlns:mc="http://schemas.openxmlformats.org/markup-compatibility/2006">
          <mc:Choice Requires="x14">
            <control shapeId="647174" r:id="rId7" name="Drop Down 6">
              <controlPr defaultSize="0" autoLine="0" autoPict="0">
                <anchor moveWithCells="1">
                  <from>
                    <xdr:col>8</xdr:col>
                    <xdr:colOff>123825</xdr:colOff>
                    <xdr:row>14</xdr:row>
                    <xdr:rowOff>114300</xdr:rowOff>
                  </from>
                  <to>
                    <xdr:col>11</xdr:col>
                    <xdr:colOff>419100</xdr:colOff>
                    <xdr:row>14</xdr:row>
                    <xdr:rowOff>352425</xdr:rowOff>
                  </to>
                </anchor>
              </controlPr>
            </control>
          </mc:Choice>
        </mc:AlternateContent>
        <mc:AlternateContent xmlns:mc="http://schemas.openxmlformats.org/markup-compatibility/2006">
          <mc:Choice Requires="x14">
            <control shapeId="647175" r:id="rId8" name="Drop Down 7">
              <controlPr defaultSize="0" autoLine="0" autoPict="0">
                <anchor moveWithCells="1">
                  <from>
                    <xdr:col>8</xdr:col>
                    <xdr:colOff>123825</xdr:colOff>
                    <xdr:row>15</xdr:row>
                    <xdr:rowOff>104775</xdr:rowOff>
                  </from>
                  <to>
                    <xdr:col>11</xdr:col>
                    <xdr:colOff>419100</xdr:colOff>
                    <xdr:row>15</xdr:row>
                    <xdr:rowOff>352425</xdr:rowOff>
                  </to>
                </anchor>
              </controlPr>
            </control>
          </mc:Choice>
        </mc:AlternateContent>
        <mc:AlternateContent xmlns:mc="http://schemas.openxmlformats.org/markup-compatibility/2006">
          <mc:Choice Requires="x14">
            <control shapeId="647176" r:id="rId9" name="Drop Down 8">
              <controlPr defaultSize="0" autoLine="0" autoPict="0">
                <anchor moveWithCells="1">
                  <from>
                    <xdr:col>8</xdr:col>
                    <xdr:colOff>123825</xdr:colOff>
                    <xdr:row>16</xdr:row>
                    <xdr:rowOff>95250</xdr:rowOff>
                  </from>
                  <to>
                    <xdr:col>11</xdr:col>
                    <xdr:colOff>419100</xdr:colOff>
                    <xdr:row>16</xdr:row>
                    <xdr:rowOff>333375</xdr:rowOff>
                  </to>
                </anchor>
              </controlPr>
            </control>
          </mc:Choice>
        </mc:AlternateContent>
        <mc:AlternateContent xmlns:mc="http://schemas.openxmlformats.org/markup-compatibility/2006">
          <mc:Choice Requires="x14">
            <control shapeId="647177" r:id="rId10" name="Drop Down 9">
              <controlPr defaultSize="0" autoLine="0" autoPict="0">
                <anchor moveWithCells="1">
                  <from>
                    <xdr:col>8</xdr:col>
                    <xdr:colOff>123825</xdr:colOff>
                    <xdr:row>17</xdr:row>
                    <xdr:rowOff>104775</xdr:rowOff>
                  </from>
                  <to>
                    <xdr:col>11</xdr:col>
                    <xdr:colOff>419100</xdr:colOff>
                    <xdr:row>17</xdr:row>
                    <xdr:rowOff>352425</xdr:rowOff>
                  </to>
                </anchor>
              </controlPr>
            </control>
          </mc:Choice>
        </mc:AlternateContent>
        <mc:AlternateContent xmlns:mc="http://schemas.openxmlformats.org/markup-compatibility/2006">
          <mc:Choice Requires="x14">
            <control shapeId="647178" r:id="rId11" name="Drop Down 10">
              <controlPr defaultSize="0" autoLine="0" autoPict="0">
                <anchor moveWithCells="1">
                  <from>
                    <xdr:col>8</xdr:col>
                    <xdr:colOff>123825</xdr:colOff>
                    <xdr:row>18</xdr:row>
                    <xdr:rowOff>95250</xdr:rowOff>
                  </from>
                  <to>
                    <xdr:col>11</xdr:col>
                    <xdr:colOff>419100</xdr:colOff>
                    <xdr:row>18</xdr:row>
                    <xdr:rowOff>333375</xdr:rowOff>
                  </to>
                </anchor>
              </controlPr>
            </control>
          </mc:Choice>
        </mc:AlternateContent>
        <mc:AlternateContent xmlns:mc="http://schemas.openxmlformats.org/markup-compatibility/2006">
          <mc:Choice Requires="x14">
            <control shapeId="647179" r:id="rId12" name="Drop Down 11">
              <controlPr defaultSize="0" autoLine="0" autoPict="0">
                <anchor moveWithCells="1">
                  <from>
                    <xdr:col>8</xdr:col>
                    <xdr:colOff>123825</xdr:colOff>
                    <xdr:row>19</xdr:row>
                    <xdr:rowOff>104775</xdr:rowOff>
                  </from>
                  <to>
                    <xdr:col>11</xdr:col>
                    <xdr:colOff>419100</xdr:colOff>
                    <xdr:row>19</xdr:row>
                    <xdr:rowOff>352425</xdr:rowOff>
                  </to>
                </anchor>
              </controlPr>
            </control>
          </mc:Choice>
        </mc:AlternateContent>
        <mc:AlternateContent xmlns:mc="http://schemas.openxmlformats.org/markup-compatibility/2006">
          <mc:Choice Requires="x14">
            <control shapeId="647180" r:id="rId13" name="Drop Down 12">
              <controlPr defaultSize="0" autoLine="0" autoPict="0">
                <anchor moveWithCells="1">
                  <from>
                    <xdr:col>8</xdr:col>
                    <xdr:colOff>123825</xdr:colOff>
                    <xdr:row>20</xdr:row>
                    <xdr:rowOff>114300</xdr:rowOff>
                  </from>
                  <to>
                    <xdr:col>11</xdr:col>
                    <xdr:colOff>419100</xdr:colOff>
                    <xdr:row>20</xdr:row>
                    <xdr:rowOff>352425</xdr:rowOff>
                  </to>
                </anchor>
              </controlPr>
            </control>
          </mc:Choice>
        </mc:AlternateContent>
        <mc:AlternateContent xmlns:mc="http://schemas.openxmlformats.org/markup-compatibility/2006">
          <mc:Choice Requires="x14">
            <control shapeId="647181" r:id="rId14" name="Drop Down 13">
              <controlPr defaultSize="0" autoLine="0" autoPict="0">
                <anchor moveWithCells="1">
                  <from>
                    <xdr:col>8</xdr:col>
                    <xdr:colOff>123825</xdr:colOff>
                    <xdr:row>21</xdr:row>
                    <xdr:rowOff>104775</xdr:rowOff>
                  </from>
                  <to>
                    <xdr:col>11</xdr:col>
                    <xdr:colOff>419100</xdr:colOff>
                    <xdr:row>21</xdr:row>
                    <xdr:rowOff>352425</xdr:rowOff>
                  </to>
                </anchor>
              </controlPr>
            </control>
          </mc:Choice>
        </mc:AlternateContent>
        <mc:AlternateContent xmlns:mc="http://schemas.openxmlformats.org/markup-compatibility/2006">
          <mc:Choice Requires="x14">
            <control shapeId="647182" r:id="rId15" name="Drop Down 14">
              <controlPr defaultSize="0" autoLine="0" autoPict="0">
                <anchor moveWithCells="1">
                  <from>
                    <xdr:col>8</xdr:col>
                    <xdr:colOff>123825</xdr:colOff>
                    <xdr:row>22</xdr:row>
                    <xdr:rowOff>95250</xdr:rowOff>
                  </from>
                  <to>
                    <xdr:col>11</xdr:col>
                    <xdr:colOff>419100</xdr:colOff>
                    <xdr:row>22</xdr:row>
                    <xdr:rowOff>333375</xdr:rowOff>
                  </to>
                </anchor>
              </controlPr>
            </control>
          </mc:Choice>
        </mc:AlternateContent>
        <mc:AlternateContent xmlns:mc="http://schemas.openxmlformats.org/markup-compatibility/2006">
          <mc:Choice Requires="x14">
            <control shapeId="647183" r:id="rId16" name="Drop Down 15">
              <controlPr defaultSize="0" autoLine="0" autoPict="0">
                <anchor moveWithCells="1">
                  <from>
                    <xdr:col>8</xdr:col>
                    <xdr:colOff>123825</xdr:colOff>
                    <xdr:row>23</xdr:row>
                    <xdr:rowOff>85725</xdr:rowOff>
                  </from>
                  <to>
                    <xdr:col>11</xdr:col>
                    <xdr:colOff>419100</xdr:colOff>
                    <xdr:row>23</xdr:row>
                    <xdr:rowOff>323850</xdr:rowOff>
                  </to>
                </anchor>
              </controlPr>
            </control>
          </mc:Choice>
        </mc:AlternateContent>
        <mc:AlternateContent xmlns:mc="http://schemas.openxmlformats.org/markup-compatibility/2006">
          <mc:Choice Requires="x14">
            <control shapeId="647185" r:id="rId17" name="Button 172">
              <controlPr defaultSize="0" print="0" autoFill="0" autoPict="0" macro="[0]!Accueil">
                <anchor>
                  <from>
                    <xdr:col>8</xdr:col>
                    <xdr:colOff>695325</xdr:colOff>
                    <xdr:row>2</xdr:row>
                    <xdr:rowOff>57150</xdr:rowOff>
                  </from>
                  <to>
                    <xdr:col>10</xdr:col>
                    <xdr:colOff>695325</xdr:colOff>
                    <xdr:row>4</xdr:row>
                    <xdr:rowOff>114300</xdr:rowOff>
                  </to>
                </anchor>
              </controlPr>
            </control>
          </mc:Choice>
        </mc:AlternateContent>
        <mc:AlternateContent xmlns:mc="http://schemas.openxmlformats.org/markup-compatibility/2006">
          <mc:Choice Requires="x14">
            <control shapeId="647186" r:id="rId18" name="Button 172">
              <controlPr defaultSize="0" print="0" autoFill="0" autoPict="0" macro="[0]!RAADSzero">
                <anchor>
                  <from>
                    <xdr:col>13</xdr:col>
                    <xdr:colOff>695325</xdr:colOff>
                    <xdr:row>7</xdr:row>
                    <xdr:rowOff>57150</xdr:rowOff>
                  </from>
                  <to>
                    <xdr:col>15</xdr:col>
                    <xdr:colOff>695325</xdr:colOff>
                    <xdr:row>9</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3D9F-D361-40F2-89F9-665E8C20E7FD}">
  <sheetPr codeName="Feuil26"/>
  <dimension ref="A1"/>
  <sheetViews>
    <sheetView showGridLines="0" showRowColHeaders="0" zoomScale="171" zoomScaleNormal="171" workbookViewId="0">
      <selection activeCell="M6" sqref="M6"/>
    </sheetView>
  </sheetViews>
  <sheetFormatPr baseColWidth="10" defaultRowHeight="12.75"/>
  <sheetData/>
  <sheetProtection sheet="1" objects="1" scenarios="1" selectLockedCells="1" selectUnlockedCells="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6817" r:id="rId4" name="Button 5">
              <controlPr defaultSize="0" print="0" autoFill="0" autoPict="0" macro="[0]!Preview">
                <anchor moveWithCells="1" sizeWithCells="1">
                  <from>
                    <xdr:col>1</xdr:col>
                    <xdr:colOff>447675</xdr:colOff>
                    <xdr:row>0</xdr:row>
                    <xdr:rowOff>76200</xdr:rowOff>
                  </from>
                  <to>
                    <xdr:col>3</xdr:col>
                    <xdr:colOff>66675</xdr:colOff>
                    <xdr:row>3</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D296-837C-482A-AF1E-BF6CC6A793E0}">
  <sheetPr codeName="Feuil25"/>
  <dimension ref="A1"/>
  <sheetViews>
    <sheetView showGridLines="0" showRowColHeaders="0" topLeftCell="A7" zoomScale="161" zoomScaleNormal="161" workbookViewId="0">
      <selection activeCell="N8" sqref="N8"/>
    </sheetView>
  </sheetViews>
  <sheetFormatPr baseColWidth="10" defaultRowHeight="12.75"/>
  <sheetData/>
  <sheetProtection selectLockedCells="1" selectUnlockedCells="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7841" r:id="rId4" name="Button 5">
              <controlPr defaultSize="0" print="0" autoFill="0" autoPict="0" macro="[0]!Preview">
                <anchor moveWithCells="1" sizeWithCells="1">
                  <from>
                    <xdr:col>10</xdr:col>
                    <xdr:colOff>342900</xdr:colOff>
                    <xdr:row>8</xdr:row>
                    <xdr:rowOff>19050</xdr:rowOff>
                  </from>
                  <to>
                    <xdr:col>11</xdr:col>
                    <xdr:colOff>723900</xdr:colOff>
                    <xdr:row>11</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dimension ref="A1:CG45"/>
  <sheetViews>
    <sheetView showGridLines="0" showRowColHeaders="0" zoomScale="163" zoomScaleNormal="163" zoomScalePageLayoutView="190" workbookViewId="0">
      <selection activeCell="A6" sqref="A6"/>
    </sheetView>
  </sheetViews>
  <sheetFormatPr baseColWidth="10" defaultColWidth="11.28515625" defaultRowHeight="12.75"/>
  <cols>
    <col min="1" max="1" width="17.85546875" style="95" customWidth="1"/>
    <col min="2" max="2" width="17.85546875" style="90" customWidth="1"/>
    <col min="3" max="3" width="7.28515625" style="90" customWidth="1"/>
    <col min="4" max="4" width="12.140625" style="90" customWidth="1"/>
    <col min="5" max="8" width="5.85546875" style="95" customWidth="1"/>
    <col min="9" max="9" width="6.140625" style="95" customWidth="1"/>
    <col min="10" max="10" width="6" style="95" customWidth="1"/>
    <col min="11" max="22" width="5.85546875" style="95" customWidth="1"/>
    <col min="23" max="23" width="6.7109375" style="95" customWidth="1"/>
    <col min="24" max="25" width="5.85546875" style="95" customWidth="1"/>
    <col min="26" max="26" width="11.85546875" style="95" customWidth="1"/>
    <col min="27" max="28" width="5.85546875" style="95" customWidth="1"/>
    <col min="29" max="55" width="7.140625" style="95" customWidth="1"/>
    <col min="56" max="78" width="6.140625" style="95" customWidth="1"/>
    <col min="79" max="82" width="7" style="95" customWidth="1"/>
    <col min="83" max="16384" width="11.28515625" style="95"/>
  </cols>
  <sheetData>
    <row r="1" spans="1:85" ht="16.5" customHeight="1">
      <c r="A1" s="89" t="s">
        <v>425</v>
      </c>
      <c r="C1" s="91"/>
      <c r="D1" s="92"/>
      <c r="E1" s="93"/>
      <c r="F1" s="93"/>
      <c r="G1" s="93"/>
      <c r="H1" s="93"/>
      <c r="I1" s="93"/>
      <c r="J1" s="93"/>
      <c r="K1" s="93"/>
      <c r="L1" s="93"/>
      <c r="M1" s="93"/>
      <c r="N1" s="93"/>
      <c r="O1" s="93"/>
      <c r="P1" s="93"/>
      <c r="Q1" s="93"/>
      <c r="R1" s="93"/>
      <c r="S1" s="93"/>
      <c r="T1" s="93"/>
      <c r="U1" s="93"/>
      <c r="V1" s="93"/>
      <c r="W1" s="93"/>
      <c r="X1" s="93"/>
      <c r="Y1" s="93"/>
      <c r="Z1" s="160"/>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c r="BT1" s="161"/>
      <c r="BU1" s="161"/>
      <c r="BV1" s="161"/>
      <c r="BW1" s="161"/>
      <c r="BX1" s="161"/>
      <c r="BY1" s="161"/>
      <c r="BZ1" s="161"/>
      <c r="CA1" s="161"/>
      <c r="CB1" s="161"/>
      <c r="CC1" s="161"/>
      <c r="CD1" s="161"/>
      <c r="CE1" s="162"/>
      <c r="CF1" s="94"/>
      <c r="CG1" s="94"/>
    </row>
    <row r="2" spans="1:85" ht="16.5" customHeight="1">
      <c r="A2" s="112" t="str">
        <f>IF(ISBLANK(Accueil!B8),"",Accueil!B8)</f>
        <v xml:space="preserve"> </v>
      </c>
      <c r="C2" s="91"/>
      <c r="D2" s="96"/>
      <c r="E2" s="93"/>
      <c r="F2" s="93"/>
      <c r="G2" s="93"/>
      <c r="H2" s="93"/>
      <c r="I2" s="93"/>
      <c r="J2" s="93"/>
      <c r="K2" s="93"/>
      <c r="L2" s="93"/>
      <c r="M2" s="93"/>
      <c r="N2" s="93"/>
      <c r="O2" s="93"/>
      <c r="P2" s="93"/>
      <c r="Q2" s="93"/>
      <c r="R2" s="93"/>
      <c r="S2" s="93"/>
      <c r="T2" s="93"/>
      <c r="U2" s="93"/>
      <c r="V2" s="93"/>
      <c r="W2" s="93"/>
      <c r="X2" s="93"/>
      <c r="Y2" s="93"/>
      <c r="Z2" s="171"/>
      <c r="AA2" s="172">
        <f>Accueil!B3</f>
        <v>45337.840324074074</v>
      </c>
      <c r="AB2" s="172">
        <f>AA2+7</f>
        <v>45344.840324074074</v>
      </c>
      <c r="AC2" s="172">
        <f t="shared" ref="AC2:AT2" si="0">AB2+7</f>
        <v>45351.840324074074</v>
      </c>
      <c r="AD2" s="172">
        <f t="shared" si="0"/>
        <v>45358.840324074074</v>
      </c>
      <c r="AE2" s="172">
        <f t="shared" si="0"/>
        <v>45365.840324074074</v>
      </c>
      <c r="AF2" s="172">
        <f t="shared" si="0"/>
        <v>45372.840324074074</v>
      </c>
      <c r="AG2" s="172">
        <f t="shared" si="0"/>
        <v>45379.840324074074</v>
      </c>
      <c r="AH2" s="172">
        <f t="shared" si="0"/>
        <v>45386.840324074074</v>
      </c>
      <c r="AI2" s="172">
        <f t="shared" si="0"/>
        <v>45393.840324074074</v>
      </c>
      <c r="AJ2" s="172">
        <f t="shared" si="0"/>
        <v>45400.840324074074</v>
      </c>
      <c r="AK2" s="172">
        <f t="shared" si="0"/>
        <v>45407.840324074074</v>
      </c>
      <c r="AL2" s="172">
        <f t="shared" si="0"/>
        <v>45414.840324074074</v>
      </c>
      <c r="AM2" s="172">
        <f t="shared" si="0"/>
        <v>45421.840324074074</v>
      </c>
      <c r="AN2" s="172">
        <f t="shared" si="0"/>
        <v>45428.840324074074</v>
      </c>
      <c r="AO2" s="172">
        <f t="shared" si="0"/>
        <v>45435.840324074074</v>
      </c>
      <c r="AP2" s="172">
        <f t="shared" si="0"/>
        <v>45442.840324074074</v>
      </c>
      <c r="AQ2" s="172">
        <f t="shared" si="0"/>
        <v>45449.840324074074</v>
      </c>
      <c r="AR2" s="172">
        <f t="shared" si="0"/>
        <v>45456.840324074074</v>
      </c>
      <c r="AS2" s="172">
        <f t="shared" si="0"/>
        <v>45463.840324074074</v>
      </c>
      <c r="AT2" s="172">
        <f t="shared" si="0"/>
        <v>45470.840324074074</v>
      </c>
      <c r="AU2" s="172">
        <f>AT2+7</f>
        <v>45477.840324074074</v>
      </c>
      <c r="AV2" s="172">
        <f t="shared" ref="AV2:CD2" si="1">AU2+7</f>
        <v>45484.840324074074</v>
      </c>
      <c r="AW2" s="172">
        <f t="shared" si="1"/>
        <v>45491.840324074074</v>
      </c>
      <c r="AX2" s="172">
        <f t="shared" si="1"/>
        <v>45498.840324074074</v>
      </c>
      <c r="AY2" s="172">
        <f t="shared" si="1"/>
        <v>45505.840324074074</v>
      </c>
      <c r="AZ2" s="172">
        <f t="shared" si="1"/>
        <v>45512.840324074074</v>
      </c>
      <c r="BA2" s="172">
        <f t="shared" si="1"/>
        <v>45519.840324074074</v>
      </c>
      <c r="BB2" s="172">
        <f t="shared" si="1"/>
        <v>45526.840324074074</v>
      </c>
      <c r="BC2" s="172">
        <f t="shared" si="1"/>
        <v>45533.840324074074</v>
      </c>
      <c r="BD2" s="172">
        <f t="shared" si="1"/>
        <v>45540.840324074074</v>
      </c>
      <c r="BE2" s="172">
        <f t="shared" si="1"/>
        <v>45547.840324074074</v>
      </c>
      <c r="BF2" s="172">
        <f t="shared" si="1"/>
        <v>45554.840324074074</v>
      </c>
      <c r="BG2" s="172">
        <f t="shared" si="1"/>
        <v>45561.840324074074</v>
      </c>
      <c r="BH2" s="172">
        <f t="shared" si="1"/>
        <v>45568.840324074074</v>
      </c>
      <c r="BI2" s="172">
        <f t="shared" si="1"/>
        <v>45575.840324074074</v>
      </c>
      <c r="BJ2" s="172">
        <f t="shared" si="1"/>
        <v>45582.840324074074</v>
      </c>
      <c r="BK2" s="172">
        <f t="shared" si="1"/>
        <v>45589.840324074074</v>
      </c>
      <c r="BL2" s="172">
        <f t="shared" si="1"/>
        <v>45596.840324074074</v>
      </c>
      <c r="BM2" s="172">
        <f t="shared" si="1"/>
        <v>45603.840324074074</v>
      </c>
      <c r="BN2" s="172">
        <f t="shared" si="1"/>
        <v>45610.840324074074</v>
      </c>
      <c r="BO2" s="172">
        <f t="shared" si="1"/>
        <v>45617.840324074074</v>
      </c>
      <c r="BP2" s="172">
        <f t="shared" si="1"/>
        <v>45624.840324074074</v>
      </c>
      <c r="BQ2" s="172">
        <f t="shared" si="1"/>
        <v>45631.840324074074</v>
      </c>
      <c r="BR2" s="172">
        <f t="shared" si="1"/>
        <v>45638.840324074074</v>
      </c>
      <c r="BS2" s="172">
        <f t="shared" si="1"/>
        <v>45645.840324074074</v>
      </c>
      <c r="BT2" s="172">
        <f t="shared" si="1"/>
        <v>45652.840324074074</v>
      </c>
      <c r="BU2" s="172">
        <f t="shared" si="1"/>
        <v>45659.840324074074</v>
      </c>
      <c r="BV2" s="172">
        <f t="shared" si="1"/>
        <v>45666.840324074074</v>
      </c>
      <c r="BW2" s="172">
        <f t="shared" si="1"/>
        <v>45673.840324074074</v>
      </c>
      <c r="BX2" s="172">
        <f t="shared" si="1"/>
        <v>45680.840324074074</v>
      </c>
      <c r="BY2" s="172">
        <f t="shared" si="1"/>
        <v>45687.840324074074</v>
      </c>
      <c r="BZ2" s="172">
        <f t="shared" si="1"/>
        <v>45694.840324074074</v>
      </c>
      <c r="CA2" s="172">
        <f t="shared" si="1"/>
        <v>45701.840324074074</v>
      </c>
      <c r="CB2" s="172">
        <f t="shared" si="1"/>
        <v>45708.840324074074</v>
      </c>
      <c r="CC2" s="172">
        <f t="shared" si="1"/>
        <v>45715.840324074074</v>
      </c>
      <c r="CD2" s="172">
        <f t="shared" si="1"/>
        <v>45722.840324074074</v>
      </c>
      <c r="CE2" s="162"/>
      <c r="CF2" s="94"/>
      <c r="CG2" s="94"/>
    </row>
    <row r="3" spans="1:85" ht="16.5" customHeight="1">
      <c r="A3" s="98" t="s">
        <v>358</v>
      </c>
      <c r="C3" s="91"/>
      <c r="D3" s="97">
        <f>IF(ISBLANK(Accueil!B3),"",Accueil!B3)</f>
        <v>45337.840324074074</v>
      </c>
      <c r="E3" s="94"/>
      <c r="F3" s="94"/>
      <c r="G3" s="94"/>
      <c r="H3" s="94"/>
      <c r="I3" s="94"/>
      <c r="J3" s="94"/>
      <c r="K3" s="94"/>
      <c r="L3" s="94"/>
      <c r="M3" s="94"/>
      <c r="N3" s="94"/>
      <c r="O3" s="94"/>
      <c r="P3" s="94"/>
      <c r="Q3" s="94"/>
      <c r="R3" s="94"/>
      <c r="S3" s="94"/>
      <c r="T3" s="94"/>
      <c r="U3" s="94"/>
      <c r="V3" s="94"/>
      <c r="W3" s="94"/>
      <c r="X3" s="94"/>
      <c r="Y3" s="94"/>
      <c r="Z3" s="171" t="s">
        <v>421</v>
      </c>
      <c r="AA3" s="173" t="e">
        <f>VLOOKUP(INT('IMC d''équilibre'!$D$5),'IMC d''équilibre'!$F:$I,2)*$B$7*$B$7</f>
        <v>#VALUE!</v>
      </c>
      <c r="AB3" s="171" t="e">
        <f t="shared" ref="AB3:AD5" si="2">AA3</f>
        <v>#VALUE!</v>
      </c>
      <c r="AC3" s="171" t="e">
        <f t="shared" si="2"/>
        <v>#VALUE!</v>
      </c>
      <c r="AD3" s="171" t="e">
        <f t="shared" si="2"/>
        <v>#VALUE!</v>
      </c>
      <c r="AE3" s="173" t="e">
        <f>VLOOKUP(INT('IMC d''équilibre'!$D$5+1),'IMC d''équilibre'!$F:$I,2)*$B$7*$B$7</f>
        <v>#VALUE!</v>
      </c>
      <c r="AF3" s="171" t="e">
        <f t="shared" ref="AF3:AH5" si="3">AE3</f>
        <v>#VALUE!</v>
      </c>
      <c r="AG3" s="171" t="e">
        <f t="shared" si="3"/>
        <v>#VALUE!</v>
      </c>
      <c r="AH3" s="171" t="e">
        <f t="shared" si="3"/>
        <v>#VALUE!</v>
      </c>
      <c r="AI3" s="173" t="e">
        <f>VLOOKUP(INT('IMC d''équilibre'!$D$5+2),'IMC d''équilibre'!$F:$I,2)*$B$7*$B$7</f>
        <v>#VALUE!</v>
      </c>
      <c r="AJ3" s="171" t="e">
        <f t="shared" ref="AJ3:AL5" si="4">AI3</f>
        <v>#VALUE!</v>
      </c>
      <c r="AK3" s="171" t="e">
        <f t="shared" si="4"/>
        <v>#VALUE!</v>
      </c>
      <c r="AL3" s="171" t="e">
        <f t="shared" si="4"/>
        <v>#VALUE!</v>
      </c>
      <c r="AM3" s="173" t="e">
        <f>VLOOKUP(INT('IMC d''équilibre'!$D$5+3),'IMC d''équilibre'!$F:$I,2)*$B$7*$B$7</f>
        <v>#VALUE!</v>
      </c>
      <c r="AN3" s="171" t="e">
        <f t="shared" ref="AN3:AP5" si="5">AM3</f>
        <v>#VALUE!</v>
      </c>
      <c r="AO3" s="171" t="e">
        <f t="shared" si="5"/>
        <v>#VALUE!</v>
      </c>
      <c r="AP3" s="171" t="e">
        <f t="shared" si="5"/>
        <v>#VALUE!</v>
      </c>
      <c r="AQ3" s="173" t="e">
        <f>VLOOKUP(INT('IMC d''équilibre'!$D$5+4),'IMC d''équilibre'!$F:$I,2)*$B$7*$B$7</f>
        <v>#VALUE!</v>
      </c>
      <c r="AR3" s="171" t="e">
        <f t="shared" ref="AR3:AT5" si="6">AQ3</f>
        <v>#VALUE!</v>
      </c>
      <c r="AS3" s="171" t="e">
        <f t="shared" si="6"/>
        <v>#VALUE!</v>
      </c>
      <c r="AT3" s="171" t="e">
        <f t="shared" si="6"/>
        <v>#VALUE!</v>
      </c>
      <c r="AU3" s="173" t="e">
        <f>VLOOKUP(INT('IMC d''équilibre'!$D$5+5),'IMC d''équilibre'!$F:$I,2)*$B$7*$B$7</f>
        <v>#VALUE!</v>
      </c>
      <c r="AV3" s="171" t="e">
        <f t="shared" ref="AV3:AX5" si="7">AU3</f>
        <v>#VALUE!</v>
      </c>
      <c r="AW3" s="171" t="e">
        <f t="shared" si="7"/>
        <v>#VALUE!</v>
      </c>
      <c r="AX3" s="171" t="e">
        <f t="shared" si="7"/>
        <v>#VALUE!</v>
      </c>
      <c r="AY3" s="173" t="e">
        <f>VLOOKUP(INT('IMC d''équilibre'!$D$5+6),'IMC d''équilibre'!$F:$I,2)*$B$7*$B$7</f>
        <v>#VALUE!</v>
      </c>
      <c r="AZ3" s="171" t="e">
        <f t="shared" ref="AZ3:BB9" si="8">AY3</f>
        <v>#VALUE!</v>
      </c>
      <c r="BA3" s="171" t="e">
        <f t="shared" si="8"/>
        <v>#VALUE!</v>
      </c>
      <c r="BB3" s="171" t="e">
        <f t="shared" si="8"/>
        <v>#VALUE!</v>
      </c>
      <c r="BC3" s="173" t="e">
        <f>VLOOKUP(INT('IMC d''équilibre'!$D$5+7),'IMC d''équilibre'!$F:$I,2)*$B$7*$B$7</f>
        <v>#VALUE!</v>
      </c>
      <c r="BD3" s="171" t="e">
        <f t="shared" ref="BD3:BF9" si="9">BC3</f>
        <v>#VALUE!</v>
      </c>
      <c r="BE3" s="171" t="e">
        <f t="shared" si="9"/>
        <v>#VALUE!</v>
      </c>
      <c r="BF3" s="171" t="e">
        <f t="shared" si="9"/>
        <v>#VALUE!</v>
      </c>
      <c r="BG3" s="173" t="e">
        <f>VLOOKUP(INT('IMC d''équilibre'!$D$5+8),'IMC d''équilibre'!$F:$I,2)*$B$7*$B$7</f>
        <v>#VALUE!</v>
      </c>
      <c r="BH3" s="171" t="e">
        <f t="shared" ref="BH3:BJ9" si="10">BG3</f>
        <v>#VALUE!</v>
      </c>
      <c r="BI3" s="171" t="e">
        <f t="shared" si="10"/>
        <v>#VALUE!</v>
      </c>
      <c r="BJ3" s="171" t="e">
        <f t="shared" si="10"/>
        <v>#VALUE!</v>
      </c>
      <c r="BK3" s="173" t="e">
        <f>VLOOKUP(INT('IMC d''équilibre'!$D$5+9),'IMC d''équilibre'!$F:$I,2)*$B$7*$B$7</f>
        <v>#VALUE!</v>
      </c>
      <c r="BL3" s="171" t="e">
        <f t="shared" ref="BL3:BN9" si="11">BK3</f>
        <v>#VALUE!</v>
      </c>
      <c r="BM3" s="171" t="e">
        <f t="shared" si="11"/>
        <v>#VALUE!</v>
      </c>
      <c r="BN3" s="171" t="e">
        <f t="shared" si="11"/>
        <v>#VALUE!</v>
      </c>
      <c r="BO3" s="173" t="e">
        <f>VLOOKUP(INT('IMC d''équilibre'!$D$5+10),'IMC d''équilibre'!$F:$I,2)*$B$7*$B$7</f>
        <v>#VALUE!</v>
      </c>
      <c r="BP3" s="171" t="e">
        <f t="shared" ref="BP3:BR9" si="12">BO3</f>
        <v>#VALUE!</v>
      </c>
      <c r="BQ3" s="171" t="e">
        <f t="shared" si="12"/>
        <v>#VALUE!</v>
      </c>
      <c r="BR3" s="171" t="e">
        <f t="shared" si="12"/>
        <v>#VALUE!</v>
      </c>
      <c r="BS3" s="173" t="e">
        <f>VLOOKUP(INT('IMC d''équilibre'!$D$5+11),'IMC d''équilibre'!$F:$I,2)*$B$7*$B$7</f>
        <v>#VALUE!</v>
      </c>
      <c r="BT3" s="171" t="e">
        <f>BS3</f>
        <v>#VALUE!</v>
      </c>
      <c r="BU3" s="171" t="e">
        <f>BT3</f>
        <v>#VALUE!</v>
      </c>
      <c r="BV3" s="171" t="e">
        <f>BU3</f>
        <v>#VALUE!</v>
      </c>
      <c r="BW3" s="173" t="e">
        <f>VLOOKUP(INT('IMC d''équilibre'!$D$5+12),'IMC d''équilibre'!$F:$I,2)*$B$7*$B$7</f>
        <v>#VALUE!</v>
      </c>
      <c r="BX3" s="171" t="e">
        <f t="shared" ref="BX3:BZ9" si="13">BW3</f>
        <v>#VALUE!</v>
      </c>
      <c r="BY3" s="171" t="e">
        <f t="shared" si="13"/>
        <v>#VALUE!</v>
      </c>
      <c r="BZ3" s="171" t="e">
        <f t="shared" si="13"/>
        <v>#VALUE!</v>
      </c>
      <c r="CA3" s="173" t="e">
        <f>VLOOKUP(INT('IMC d''équilibre'!$D$5+13),'IMC d''équilibre'!$F:$I,2)*$B$7*$B$7</f>
        <v>#VALUE!</v>
      </c>
      <c r="CB3" s="171" t="e">
        <f>CA3</f>
        <v>#VALUE!</v>
      </c>
      <c r="CC3" s="171" t="e">
        <f>CB3</f>
        <v>#VALUE!</v>
      </c>
      <c r="CD3" s="171" t="e">
        <f>CC3</f>
        <v>#VALUE!</v>
      </c>
      <c r="CE3" s="162"/>
      <c r="CF3" s="94"/>
      <c r="CG3" s="94"/>
    </row>
    <row r="4" spans="1:85" ht="16.5" customHeight="1">
      <c r="A4" s="113"/>
      <c r="C4" s="91"/>
      <c r="D4" s="91"/>
      <c r="E4" s="94"/>
      <c r="F4" s="94"/>
      <c r="G4" s="94"/>
      <c r="H4" s="94"/>
      <c r="I4" s="99"/>
      <c r="J4" s="94"/>
      <c r="K4" s="94"/>
      <c r="L4" s="94"/>
      <c r="M4" s="94"/>
      <c r="N4" s="94"/>
      <c r="O4" s="94"/>
      <c r="P4" s="94"/>
      <c r="Q4" s="94"/>
      <c r="R4" s="94"/>
      <c r="S4" s="94"/>
      <c r="T4" s="94"/>
      <c r="U4" s="94"/>
      <c r="V4" s="94"/>
      <c r="W4" s="94"/>
      <c r="X4" s="94"/>
      <c r="Y4" s="94"/>
      <c r="Z4" s="171" t="s">
        <v>91</v>
      </c>
      <c r="AA4" s="173" t="e">
        <f>VLOOKUP(INT('IMC d''équilibre'!$D$5),'IMC d''équilibre'!$F:$J,5)*$B$7*$B$7</f>
        <v>#VALUE!</v>
      </c>
      <c r="AB4" s="171" t="e">
        <f t="shared" si="2"/>
        <v>#VALUE!</v>
      </c>
      <c r="AC4" s="171" t="e">
        <f t="shared" si="2"/>
        <v>#VALUE!</v>
      </c>
      <c r="AD4" s="171" t="e">
        <f t="shared" si="2"/>
        <v>#VALUE!</v>
      </c>
      <c r="AE4" s="173" t="e">
        <f>VLOOKUP(INT('IMC d''équilibre'!$D$5+1),'IMC d''équilibre'!$F:$J,5)*$B$7*$B$7</f>
        <v>#VALUE!</v>
      </c>
      <c r="AF4" s="171" t="e">
        <f t="shared" si="3"/>
        <v>#VALUE!</v>
      </c>
      <c r="AG4" s="171" t="e">
        <f t="shared" si="3"/>
        <v>#VALUE!</v>
      </c>
      <c r="AH4" s="171" t="e">
        <f t="shared" si="3"/>
        <v>#VALUE!</v>
      </c>
      <c r="AI4" s="173" t="e">
        <f>VLOOKUP(INT('IMC d''équilibre'!$D$5+2),'IMC d''équilibre'!$F:$J,5)*$B$7*$B$7</f>
        <v>#VALUE!</v>
      </c>
      <c r="AJ4" s="171" t="e">
        <f t="shared" si="4"/>
        <v>#VALUE!</v>
      </c>
      <c r="AK4" s="171" t="e">
        <f t="shared" si="4"/>
        <v>#VALUE!</v>
      </c>
      <c r="AL4" s="171" t="e">
        <f t="shared" si="4"/>
        <v>#VALUE!</v>
      </c>
      <c r="AM4" s="173" t="e">
        <f>VLOOKUP(INT('IMC d''équilibre'!$D$5+3),'IMC d''équilibre'!$F:$J,5)*$B$7*$B$7</f>
        <v>#VALUE!</v>
      </c>
      <c r="AN4" s="171" t="e">
        <f t="shared" si="5"/>
        <v>#VALUE!</v>
      </c>
      <c r="AO4" s="171" t="e">
        <f t="shared" si="5"/>
        <v>#VALUE!</v>
      </c>
      <c r="AP4" s="171" t="e">
        <f t="shared" si="5"/>
        <v>#VALUE!</v>
      </c>
      <c r="AQ4" s="173" t="e">
        <f>VLOOKUP(INT('IMC d''équilibre'!$D$5+4),'IMC d''équilibre'!$F:$J,5)*$B$7*$B$7</f>
        <v>#VALUE!</v>
      </c>
      <c r="AR4" s="171" t="e">
        <f t="shared" si="6"/>
        <v>#VALUE!</v>
      </c>
      <c r="AS4" s="171" t="e">
        <f t="shared" si="6"/>
        <v>#VALUE!</v>
      </c>
      <c r="AT4" s="171" t="e">
        <f t="shared" si="6"/>
        <v>#VALUE!</v>
      </c>
      <c r="AU4" s="173" t="e">
        <f>VLOOKUP(INT('IMC d''équilibre'!$D$5+5),'IMC d''équilibre'!$F:$J,5)*$B$7*$B$7</f>
        <v>#VALUE!</v>
      </c>
      <c r="AV4" s="171" t="e">
        <f t="shared" si="7"/>
        <v>#VALUE!</v>
      </c>
      <c r="AW4" s="171" t="e">
        <f t="shared" si="7"/>
        <v>#VALUE!</v>
      </c>
      <c r="AX4" s="171" t="e">
        <f t="shared" si="7"/>
        <v>#VALUE!</v>
      </c>
      <c r="AY4" s="173" t="e">
        <f>VLOOKUP(INT('IMC d''équilibre'!$D$5+6),'IMC d''équilibre'!$F:$J,5)*$B$7*$B$7</f>
        <v>#VALUE!</v>
      </c>
      <c r="AZ4" s="171" t="e">
        <f t="shared" si="8"/>
        <v>#VALUE!</v>
      </c>
      <c r="BA4" s="171" t="e">
        <f t="shared" si="8"/>
        <v>#VALUE!</v>
      </c>
      <c r="BB4" s="171" t="e">
        <f t="shared" si="8"/>
        <v>#VALUE!</v>
      </c>
      <c r="BC4" s="173" t="e">
        <f>VLOOKUP(INT('IMC d''équilibre'!$D$5+7),'IMC d''équilibre'!$F:$J,5)*$B$7*$B$7</f>
        <v>#VALUE!</v>
      </c>
      <c r="BD4" s="171" t="e">
        <f t="shared" si="9"/>
        <v>#VALUE!</v>
      </c>
      <c r="BE4" s="171" t="e">
        <f t="shared" si="9"/>
        <v>#VALUE!</v>
      </c>
      <c r="BF4" s="171" t="e">
        <f t="shared" si="9"/>
        <v>#VALUE!</v>
      </c>
      <c r="BG4" s="173" t="e">
        <f>VLOOKUP(INT('IMC d''équilibre'!$D$5+8),'IMC d''équilibre'!$F:$J,5)*$B$7*$B$7</f>
        <v>#VALUE!</v>
      </c>
      <c r="BH4" s="171" t="e">
        <f t="shared" si="10"/>
        <v>#VALUE!</v>
      </c>
      <c r="BI4" s="171" t="e">
        <f t="shared" si="10"/>
        <v>#VALUE!</v>
      </c>
      <c r="BJ4" s="171" t="e">
        <f t="shared" si="10"/>
        <v>#VALUE!</v>
      </c>
      <c r="BK4" s="173" t="e">
        <f>VLOOKUP(INT('IMC d''équilibre'!$D$5+9),'IMC d''équilibre'!$F:$J,5)*$B$7*$B$7</f>
        <v>#VALUE!</v>
      </c>
      <c r="BL4" s="171" t="e">
        <f t="shared" si="11"/>
        <v>#VALUE!</v>
      </c>
      <c r="BM4" s="171" t="e">
        <f t="shared" si="11"/>
        <v>#VALUE!</v>
      </c>
      <c r="BN4" s="171" t="e">
        <f t="shared" si="11"/>
        <v>#VALUE!</v>
      </c>
      <c r="BO4" s="173" t="e">
        <f>VLOOKUP(INT('IMC d''équilibre'!$D$5+10),'IMC d''équilibre'!$F:$J,5)*$B$7*$B$7</f>
        <v>#VALUE!</v>
      </c>
      <c r="BP4" s="171" t="e">
        <f t="shared" si="12"/>
        <v>#VALUE!</v>
      </c>
      <c r="BQ4" s="171" t="e">
        <f t="shared" si="12"/>
        <v>#VALUE!</v>
      </c>
      <c r="BR4" s="171" t="e">
        <f t="shared" si="12"/>
        <v>#VALUE!</v>
      </c>
      <c r="BS4" s="173" t="e">
        <f>VLOOKUP(INT('IMC d''équilibre'!$D$5+11),'IMC d''équilibre'!$F:$J,5)*$B$7*$B$7</f>
        <v>#VALUE!</v>
      </c>
      <c r="BT4" s="171" t="e">
        <f t="shared" ref="BT4:BV5" si="14">BS4</f>
        <v>#VALUE!</v>
      </c>
      <c r="BU4" s="171" t="e">
        <f t="shared" si="14"/>
        <v>#VALUE!</v>
      </c>
      <c r="BV4" s="171" t="e">
        <f t="shared" si="14"/>
        <v>#VALUE!</v>
      </c>
      <c r="BW4" s="173" t="e">
        <f>VLOOKUP(INT('IMC d''équilibre'!$D$5+12),'IMC d''équilibre'!$F:$J,5)*$B$7*$B$7</f>
        <v>#VALUE!</v>
      </c>
      <c r="BX4" s="171" t="e">
        <f t="shared" si="13"/>
        <v>#VALUE!</v>
      </c>
      <c r="BY4" s="171" t="e">
        <f t="shared" si="13"/>
        <v>#VALUE!</v>
      </c>
      <c r="BZ4" s="171" t="e">
        <f t="shared" si="13"/>
        <v>#VALUE!</v>
      </c>
      <c r="CA4" s="173" t="e">
        <f>VLOOKUP(INT('IMC d''équilibre'!$D$5+13),'IMC d''équilibre'!$F:$J,5)*$B$7*$B$7</f>
        <v>#VALUE!</v>
      </c>
      <c r="CB4" s="171" t="e">
        <f t="shared" ref="CB4:CD5" si="15">CA4</f>
        <v>#VALUE!</v>
      </c>
      <c r="CC4" s="171" t="e">
        <f t="shared" si="15"/>
        <v>#VALUE!</v>
      </c>
      <c r="CD4" s="171" t="e">
        <f t="shared" si="15"/>
        <v>#VALUE!</v>
      </c>
      <c r="CE4" s="162"/>
      <c r="CF4" s="94"/>
      <c r="CG4" s="94"/>
    </row>
    <row r="5" spans="1:85" ht="16.5" customHeight="1">
      <c r="A5" s="98" t="s">
        <v>391</v>
      </c>
      <c r="C5" s="91"/>
      <c r="D5" s="91"/>
      <c r="E5" s="94"/>
      <c r="F5" s="94"/>
      <c r="G5" s="94"/>
      <c r="H5" s="94"/>
      <c r="I5" s="94"/>
      <c r="J5" s="94"/>
      <c r="K5" s="94"/>
      <c r="L5" s="94"/>
      <c r="M5" s="94"/>
      <c r="N5" s="94"/>
      <c r="O5" s="94"/>
      <c r="P5" s="94"/>
      <c r="Q5" s="94"/>
      <c r="R5" s="94"/>
      <c r="S5" s="94"/>
      <c r="T5" s="94"/>
      <c r="U5" s="94"/>
      <c r="V5" s="94"/>
      <c r="W5" s="94"/>
      <c r="X5" s="94"/>
      <c r="Y5" s="94"/>
      <c r="Z5" s="171" t="s">
        <v>208</v>
      </c>
      <c r="AA5" s="173" t="e">
        <f>VLOOKUP(INT('IMC d''équilibre'!$D$5),'IMC d''équilibre'!$F:$I,3)*$B$7*$B$7</f>
        <v>#VALUE!</v>
      </c>
      <c r="AB5" s="171" t="e">
        <f t="shared" si="2"/>
        <v>#VALUE!</v>
      </c>
      <c r="AC5" s="171" t="e">
        <f t="shared" si="2"/>
        <v>#VALUE!</v>
      </c>
      <c r="AD5" s="171" t="e">
        <f t="shared" si="2"/>
        <v>#VALUE!</v>
      </c>
      <c r="AE5" s="173" t="e">
        <f>VLOOKUP(INT('IMC d''équilibre'!$D$5+1),'IMC d''équilibre'!$F:$I,3)*$B$7*$B$7</f>
        <v>#VALUE!</v>
      </c>
      <c r="AF5" s="171" t="e">
        <f t="shared" si="3"/>
        <v>#VALUE!</v>
      </c>
      <c r="AG5" s="171" t="e">
        <f t="shared" si="3"/>
        <v>#VALUE!</v>
      </c>
      <c r="AH5" s="171" t="e">
        <f t="shared" si="3"/>
        <v>#VALUE!</v>
      </c>
      <c r="AI5" s="173" t="e">
        <f>VLOOKUP(INT('IMC d''équilibre'!$D$5+2),'IMC d''équilibre'!$F:$I,3)*$B$7*$B$7</f>
        <v>#VALUE!</v>
      </c>
      <c r="AJ5" s="171" t="e">
        <f t="shared" si="4"/>
        <v>#VALUE!</v>
      </c>
      <c r="AK5" s="171" t="e">
        <f t="shared" si="4"/>
        <v>#VALUE!</v>
      </c>
      <c r="AL5" s="171" t="e">
        <f t="shared" si="4"/>
        <v>#VALUE!</v>
      </c>
      <c r="AM5" s="173" t="e">
        <f>VLOOKUP(INT('IMC d''équilibre'!$D$5+3),'IMC d''équilibre'!$F:$I,3)*$B$7*$B$7</f>
        <v>#VALUE!</v>
      </c>
      <c r="AN5" s="171" t="e">
        <f t="shared" si="5"/>
        <v>#VALUE!</v>
      </c>
      <c r="AO5" s="171" t="e">
        <f t="shared" si="5"/>
        <v>#VALUE!</v>
      </c>
      <c r="AP5" s="171" t="e">
        <f t="shared" si="5"/>
        <v>#VALUE!</v>
      </c>
      <c r="AQ5" s="173" t="e">
        <f>VLOOKUP(INT('IMC d''équilibre'!$D$5+4),'IMC d''équilibre'!$F:$I,3)*$B$7*$B$7</f>
        <v>#VALUE!</v>
      </c>
      <c r="AR5" s="171" t="e">
        <f t="shared" si="6"/>
        <v>#VALUE!</v>
      </c>
      <c r="AS5" s="171" t="e">
        <f t="shared" si="6"/>
        <v>#VALUE!</v>
      </c>
      <c r="AT5" s="171" t="e">
        <f t="shared" si="6"/>
        <v>#VALUE!</v>
      </c>
      <c r="AU5" s="173" t="e">
        <f>VLOOKUP(INT('IMC d''équilibre'!$D$5+5),'IMC d''équilibre'!$F:$I,3)*$B$7*$B$7</f>
        <v>#VALUE!</v>
      </c>
      <c r="AV5" s="171" t="e">
        <f t="shared" si="7"/>
        <v>#VALUE!</v>
      </c>
      <c r="AW5" s="171" t="e">
        <f t="shared" si="7"/>
        <v>#VALUE!</v>
      </c>
      <c r="AX5" s="171" t="e">
        <f t="shared" si="7"/>
        <v>#VALUE!</v>
      </c>
      <c r="AY5" s="173" t="e">
        <f>VLOOKUP(INT('IMC d''équilibre'!$D$5+6),'IMC d''équilibre'!$F:$I,3)*$B$7*$B$7</f>
        <v>#VALUE!</v>
      </c>
      <c r="AZ5" s="171" t="e">
        <f t="shared" si="8"/>
        <v>#VALUE!</v>
      </c>
      <c r="BA5" s="171" t="e">
        <f t="shared" si="8"/>
        <v>#VALUE!</v>
      </c>
      <c r="BB5" s="171" t="e">
        <f t="shared" si="8"/>
        <v>#VALUE!</v>
      </c>
      <c r="BC5" s="173" t="e">
        <f>VLOOKUP(INT('IMC d''équilibre'!$D$5+7),'IMC d''équilibre'!$F:$I,3)*$B$7*$B$7</f>
        <v>#VALUE!</v>
      </c>
      <c r="BD5" s="171" t="e">
        <f t="shared" si="9"/>
        <v>#VALUE!</v>
      </c>
      <c r="BE5" s="171" t="e">
        <f t="shared" si="9"/>
        <v>#VALUE!</v>
      </c>
      <c r="BF5" s="171" t="e">
        <f t="shared" si="9"/>
        <v>#VALUE!</v>
      </c>
      <c r="BG5" s="173" t="e">
        <f>VLOOKUP(INT('IMC d''équilibre'!$D$5+8),'IMC d''équilibre'!$F:$I,3)*$B$7*$B$7</f>
        <v>#VALUE!</v>
      </c>
      <c r="BH5" s="171" t="e">
        <f t="shared" si="10"/>
        <v>#VALUE!</v>
      </c>
      <c r="BI5" s="171" t="e">
        <f t="shared" si="10"/>
        <v>#VALUE!</v>
      </c>
      <c r="BJ5" s="171" t="e">
        <f t="shared" si="10"/>
        <v>#VALUE!</v>
      </c>
      <c r="BK5" s="173" t="e">
        <f>VLOOKUP(INT('IMC d''équilibre'!$D$5+9),'IMC d''équilibre'!$F:$I,3)*$B$7*$B$7</f>
        <v>#VALUE!</v>
      </c>
      <c r="BL5" s="171" t="e">
        <f t="shared" si="11"/>
        <v>#VALUE!</v>
      </c>
      <c r="BM5" s="171" t="e">
        <f t="shared" si="11"/>
        <v>#VALUE!</v>
      </c>
      <c r="BN5" s="171" t="e">
        <f t="shared" si="11"/>
        <v>#VALUE!</v>
      </c>
      <c r="BO5" s="173" t="e">
        <f>VLOOKUP(INT('IMC d''équilibre'!$D$5+10),'IMC d''équilibre'!$F:$I,3)*$B$7*$B$7</f>
        <v>#VALUE!</v>
      </c>
      <c r="BP5" s="171" t="e">
        <f t="shared" si="12"/>
        <v>#VALUE!</v>
      </c>
      <c r="BQ5" s="171" t="e">
        <f t="shared" si="12"/>
        <v>#VALUE!</v>
      </c>
      <c r="BR5" s="171" t="e">
        <f t="shared" si="12"/>
        <v>#VALUE!</v>
      </c>
      <c r="BS5" s="173" t="e">
        <f>VLOOKUP(INT('IMC d''équilibre'!$D$5+11),'IMC d''équilibre'!$F:$I,3)*$B$7*$B$7</f>
        <v>#VALUE!</v>
      </c>
      <c r="BT5" s="171" t="e">
        <f t="shared" si="14"/>
        <v>#VALUE!</v>
      </c>
      <c r="BU5" s="171" t="e">
        <f t="shared" si="14"/>
        <v>#VALUE!</v>
      </c>
      <c r="BV5" s="171" t="e">
        <f t="shared" si="14"/>
        <v>#VALUE!</v>
      </c>
      <c r="BW5" s="173" t="e">
        <f>VLOOKUP(INT('IMC d''équilibre'!$D$5+12),'IMC d''équilibre'!$F:$I,3)*$B$7*$B$7</f>
        <v>#VALUE!</v>
      </c>
      <c r="BX5" s="171" t="e">
        <f t="shared" si="13"/>
        <v>#VALUE!</v>
      </c>
      <c r="BY5" s="171" t="e">
        <f t="shared" si="13"/>
        <v>#VALUE!</v>
      </c>
      <c r="BZ5" s="171" t="e">
        <f t="shared" si="13"/>
        <v>#VALUE!</v>
      </c>
      <c r="CA5" s="173" t="e">
        <f>VLOOKUP(INT('IMC d''équilibre'!$D$5+13),'IMC d''équilibre'!$F:$I,3)*$B$7*$B$7</f>
        <v>#VALUE!</v>
      </c>
      <c r="CB5" s="171" t="e">
        <f t="shared" si="15"/>
        <v>#VALUE!</v>
      </c>
      <c r="CC5" s="171" t="e">
        <f t="shared" si="15"/>
        <v>#VALUE!</v>
      </c>
      <c r="CD5" s="171" t="e">
        <f t="shared" si="15"/>
        <v>#VALUE!</v>
      </c>
      <c r="CE5" s="162"/>
      <c r="CF5" s="94"/>
      <c r="CG5" s="94"/>
    </row>
    <row r="6" spans="1:85" ht="17.25" customHeight="1">
      <c r="A6" s="114" t="str">
        <f>IF(Accueil!B13="","",Accueil!B13)</f>
        <v/>
      </c>
      <c r="C6" s="91"/>
      <c r="D6" s="91"/>
      <c r="E6" s="94"/>
      <c r="F6" s="94"/>
      <c r="G6" s="94"/>
      <c r="H6" s="94"/>
      <c r="I6" s="94"/>
      <c r="J6" s="94"/>
      <c r="K6" s="94"/>
      <c r="L6" s="94"/>
      <c r="M6" s="94"/>
      <c r="N6" s="94"/>
      <c r="O6" s="94"/>
      <c r="P6" s="94"/>
      <c r="Q6" s="94"/>
      <c r="R6" s="94"/>
      <c r="S6" s="94"/>
      <c r="T6" s="94"/>
      <c r="U6" s="94"/>
      <c r="V6" s="94"/>
      <c r="W6" s="94"/>
      <c r="X6" s="94"/>
      <c r="Y6" s="94"/>
      <c r="Z6" s="171" t="s">
        <v>423</v>
      </c>
      <c r="AA6" s="174" t="e">
        <f ca="1">IF(recueil!A2&lt;1,"",'Courbe IMC'!C58*B7*B7)</f>
        <v>#VALUE!</v>
      </c>
      <c r="AB6" s="173" t="e">
        <f ca="1">AA6</f>
        <v>#VALUE!</v>
      </c>
      <c r="AC6" s="173" t="e">
        <f t="shared" ref="AC6:AT6" ca="1" si="16">AB6</f>
        <v>#VALUE!</v>
      </c>
      <c r="AD6" s="173" t="e">
        <f t="shared" ca="1" si="16"/>
        <v>#VALUE!</v>
      </c>
      <c r="AE6" s="173" t="e">
        <f ca="1">AD6+(AE3-AA3)</f>
        <v>#VALUE!</v>
      </c>
      <c r="AF6" s="173" t="e">
        <f t="shared" ca="1" si="16"/>
        <v>#VALUE!</v>
      </c>
      <c r="AG6" s="173" t="e">
        <f t="shared" ca="1" si="16"/>
        <v>#VALUE!</v>
      </c>
      <c r="AH6" s="173" t="e">
        <f t="shared" ca="1" si="16"/>
        <v>#VALUE!</v>
      </c>
      <c r="AI6" s="173" t="e">
        <f ca="1">AH6+(AI3-AE3)</f>
        <v>#VALUE!</v>
      </c>
      <c r="AJ6" s="173" t="e">
        <f t="shared" ca="1" si="16"/>
        <v>#VALUE!</v>
      </c>
      <c r="AK6" s="173" t="e">
        <f t="shared" ca="1" si="16"/>
        <v>#VALUE!</v>
      </c>
      <c r="AL6" s="173" t="e">
        <f t="shared" ca="1" si="16"/>
        <v>#VALUE!</v>
      </c>
      <c r="AM6" s="173" t="e">
        <f ca="1">AL6+(AM3-AI3)</f>
        <v>#VALUE!</v>
      </c>
      <c r="AN6" s="173" t="e">
        <f t="shared" ca="1" si="16"/>
        <v>#VALUE!</v>
      </c>
      <c r="AO6" s="173" t="e">
        <f t="shared" ca="1" si="16"/>
        <v>#VALUE!</v>
      </c>
      <c r="AP6" s="173" t="e">
        <f t="shared" ca="1" si="16"/>
        <v>#VALUE!</v>
      </c>
      <c r="AQ6" s="173" t="e">
        <f ca="1">AP6+(AQ3-AM3)</f>
        <v>#VALUE!</v>
      </c>
      <c r="AR6" s="173" t="e">
        <f t="shared" ca="1" si="16"/>
        <v>#VALUE!</v>
      </c>
      <c r="AS6" s="173" t="e">
        <f t="shared" ca="1" si="16"/>
        <v>#VALUE!</v>
      </c>
      <c r="AT6" s="173" t="e">
        <f t="shared" ca="1" si="16"/>
        <v>#VALUE!</v>
      </c>
      <c r="AU6" s="173" t="e">
        <f ca="1">AT6+(AU3-AQ3)</f>
        <v>#VALUE!</v>
      </c>
      <c r="AV6" s="173" t="e">
        <f t="shared" ref="AV6:AX9" ca="1" si="17">AU6</f>
        <v>#VALUE!</v>
      </c>
      <c r="AW6" s="173" t="e">
        <f t="shared" ca="1" si="17"/>
        <v>#VALUE!</v>
      </c>
      <c r="AX6" s="173" t="e">
        <f t="shared" ca="1" si="17"/>
        <v>#VALUE!</v>
      </c>
      <c r="AY6" s="173" t="e">
        <f ca="1">AX6+(AY3-AU3)</f>
        <v>#VALUE!</v>
      </c>
      <c r="AZ6" s="173" t="e">
        <f t="shared" ca="1" si="8"/>
        <v>#VALUE!</v>
      </c>
      <c r="BA6" s="173" t="e">
        <f t="shared" ca="1" si="8"/>
        <v>#VALUE!</v>
      </c>
      <c r="BB6" s="173" t="e">
        <f t="shared" ca="1" si="8"/>
        <v>#VALUE!</v>
      </c>
      <c r="BC6" s="173" t="e">
        <f ca="1">BB6+(BC3-AY3)</f>
        <v>#VALUE!</v>
      </c>
      <c r="BD6" s="173" t="e">
        <f t="shared" ca="1" si="9"/>
        <v>#VALUE!</v>
      </c>
      <c r="BE6" s="173" t="e">
        <f t="shared" ca="1" si="9"/>
        <v>#VALUE!</v>
      </c>
      <c r="BF6" s="173" t="e">
        <f t="shared" ca="1" si="9"/>
        <v>#VALUE!</v>
      </c>
      <c r="BG6" s="173" t="e">
        <f ca="1">BF6+(BG3-BC3)</f>
        <v>#VALUE!</v>
      </c>
      <c r="BH6" s="173" t="e">
        <f t="shared" ca="1" si="10"/>
        <v>#VALUE!</v>
      </c>
      <c r="BI6" s="173" t="e">
        <f t="shared" ca="1" si="10"/>
        <v>#VALUE!</v>
      </c>
      <c r="BJ6" s="173" t="e">
        <f t="shared" ca="1" si="10"/>
        <v>#VALUE!</v>
      </c>
      <c r="BK6" s="173" t="e">
        <f ca="1">BJ6+(BK3-BG3)</f>
        <v>#VALUE!</v>
      </c>
      <c r="BL6" s="173" t="e">
        <f t="shared" ca="1" si="11"/>
        <v>#VALUE!</v>
      </c>
      <c r="BM6" s="173" t="e">
        <f t="shared" ca="1" si="11"/>
        <v>#VALUE!</v>
      </c>
      <c r="BN6" s="173" t="e">
        <f t="shared" ca="1" si="11"/>
        <v>#VALUE!</v>
      </c>
      <c r="BO6" s="173" t="e">
        <f ca="1">BN6+(BO3-BK3)</f>
        <v>#VALUE!</v>
      </c>
      <c r="BP6" s="173" t="e">
        <f t="shared" ca="1" si="12"/>
        <v>#VALUE!</v>
      </c>
      <c r="BQ6" s="173" t="e">
        <f t="shared" ca="1" si="12"/>
        <v>#VALUE!</v>
      </c>
      <c r="BR6" s="173" t="e">
        <f t="shared" ca="1" si="12"/>
        <v>#VALUE!</v>
      </c>
      <c r="BS6" s="173" t="e">
        <f ca="1">BR6+(BS3-BO3)</f>
        <v>#VALUE!</v>
      </c>
      <c r="BT6" s="173" t="e">
        <f t="shared" ref="BT6:BV9" ca="1" si="18">BS6</f>
        <v>#VALUE!</v>
      </c>
      <c r="BU6" s="173" t="e">
        <f t="shared" ca="1" si="18"/>
        <v>#VALUE!</v>
      </c>
      <c r="BV6" s="173" t="e">
        <f t="shared" ca="1" si="18"/>
        <v>#VALUE!</v>
      </c>
      <c r="BW6" s="173" t="e">
        <f ca="1">BV6+(BW3-BS3)</f>
        <v>#VALUE!</v>
      </c>
      <c r="BX6" s="173" t="e">
        <f t="shared" ca="1" si="13"/>
        <v>#VALUE!</v>
      </c>
      <c r="BY6" s="173" t="e">
        <f t="shared" ca="1" si="13"/>
        <v>#VALUE!</v>
      </c>
      <c r="BZ6" s="173" t="e">
        <f t="shared" ca="1" si="13"/>
        <v>#VALUE!</v>
      </c>
      <c r="CA6" s="173" t="e">
        <f ca="1">BZ6+(CA3-BW3)</f>
        <v>#VALUE!</v>
      </c>
      <c r="CB6" s="174" t="e">
        <f t="shared" ref="CB6:CD9" ca="1" si="19">CA6</f>
        <v>#VALUE!</v>
      </c>
      <c r="CC6" s="173" t="e">
        <f t="shared" ca="1" si="19"/>
        <v>#VALUE!</v>
      </c>
      <c r="CD6" s="173" t="e">
        <f t="shared" ca="1" si="19"/>
        <v>#VALUE!</v>
      </c>
      <c r="CE6" s="162"/>
      <c r="CF6" s="94"/>
      <c r="CG6" s="94"/>
    </row>
    <row r="7" spans="1:85" ht="17.25" customHeight="1">
      <c r="A7" s="414" t="s">
        <v>398</v>
      </c>
      <c r="B7" s="115" t="str">
        <f>IF(ISBLANK(Accueil!G3),"",Accueil!G3)</f>
        <v/>
      </c>
      <c r="C7" s="91"/>
      <c r="D7" s="91"/>
      <c r="E7" s="94"/>
      <c r="F7" s="94"/>
      <c r="G7" s="94"/>
      <c r="H7" s="94"/>
      <c r="I7" s="94"/>
      <c r="J7" s="94"/>
      <c r="K7" s="94"/>
      <c r="L7" s="94"/>
      <c r="M7" s="94"/>
      <c r="N7" s="94"/>
      <c r="O7" s="94"/>
      <c r="P7" s="94"/>
      <c r="Q7" s="94"/>
      <c r="R7" s="94"/>
      <c r="S7" s="94"/>
      <c r="T7" s="94"/>
      <c r="U7" s="94"/>
      <c r="V7" s="94"/>
      <c r="W7" s="94"/>
      <c r="X7" s="94"/>
      <c r="Y7" s="94"/>
      <c r="Z7" s="171" t="s">
        <v>424</v>
      </c>
      <c r="AA7" s="174" t="e">
        <f ca="1">IF(recueil!A2&lt;1,"",'Courbe IMC'!C59*B7*B7)</f>
        <v>#VALUE!</v>
      </c>
      <c r="AB7" s="173" t="e">
        <f t="shared" ref="AB7:AT9" ca="1" si="20">AA7</f>
        <v>#VALUE!</v>
      </c>
      <c r="AC7" s="173" t="e">
        <f t="shared" ca="1" si="20"/>
        <v>#VALUE!</v>
      </c>
      <c r="AD7" s="173" t="e">
        <f t="shared" ca="1" si="20"/>
        <v>#VALUE!</v>
      </c>
      <c r="AE7" s="173" t="e">
        <f ca="1">AD7+(AE3-AA3)</f>
        <v>#VALUE!</v>
      </c>
      <c r="AF7" s="173" t="e">
        <f t="shared" ca="1" si="20"/>
        <v>#VALUE!</v>
      </c>
      <c r="AG7" s="173" t="e">
        <f t="shared" ca="1" si="20"/>
        <v>#VALUE!</v>
      </c>
      <c r="AH7" s="173" t="e">
        <f t="shared" ca="1" si="20"/>
        <v>#VALUE!</v>
      </c>
      <c r="AI7" s="173" t="e">
        <f ca="1">AH7+(AI3-AE3)</f>
        <v>#VALUE!</v>
      </c>
      <c r="AJ7" s="173" t="e">
        <f t="shared" ca="1" si="20"/>
        <v>#VALUE!</v>
      </c>
      <c r="AK7" s="173" t="e">
        <f t="shared" ca="1" si="20"/>
        <v>#VALUE!</v>
      </c>
      <c r="AL7" s="173" t="e">
        <f t="shared" ca="1" si="20"/>
        <v>#VALUE!</v>
      </c>
      <c r="AM7" s="173" t="e">
        <f ca="1">AL7+(AM3-AI3)</f>
        <v>#VALUE!</v>
      </c>
      <c r="AN7" s="173" t="e">
        <f t="shared" ca="1" si="20"/>
        <v>#VALUE!</v>
      </c>
      <c r="AO7" s="173" t="e">
        <f t="shared" ca="1" si="20"/>
        <v>#VALUE!</v>
      </c>
      <c r="AP7" s="173" t="e">
        <f t="shared" ca="1" si="20"/>
        <v>#VALUE!</v>
      </c>
      <c r="AQ7" s="173" t="e">
        <f ca="1">AP7+(AQ3-AM3)</f>
        <v>#VALUE!</v>
      </c>
      <c r="AR7" s="173" t="e">
        <f t="shared" ca="1" si="20"/>
        <v>#VALUE!</v>
      </c>
      <c r="AS7" s="173" t="e">
        <f t="shared" ca="1" si="20"/>
        <v>#VALUE!</v>
      </c>
      <c r="AT7" s="173" t="e">
        <f t="shared" ca="1" si="20"/>
        <v>#VALUE!</v>
      </c>
      <c r="AU7" s="173" t="e">
        <f ca="1">AT7+(AU3-AQ3)</f>
        <v>#VALUE!</v>
      </c>
      <c r="AV7" s="173" t="e">
        <f t="shared" ca="1" si="17"/>
        <v>#VALUE!</v>
      </c>
      <c r="AW7" s="173" t="e">
        <f t="shared" ca="1" si="17"/>
        <v>#VALUE!</v>
      </c>
      <c r="AX7" s="173" t="e">
        <f t="shared" ca="1" si="17"/>
        <v>#VALUE!</v>
      </c>
      <c r="AY7" s="173" t="e">
        <f ca="1">AX7+(AY3-AU3)</f>
        <v>#VALUE!</v>
      </c>
      <c r="AZ7" s="173" t="e">
        <f t="shared" ca="1" si="8"/>
        <v>#VALUE!</v>
      </c>
      <c r="BA7" s="173" t="e">
        <f t="shared" ca="1" si="8"/>
        <v>#VALUE!</v>
      </c>
      <c r="BB7" s="173" t="e">
        <f t="shared" ca="1" si="8"/>
        <v>#VALUE!</v>
      </c>
      <c r="BC7" s="173" t="e">
        <f ca="1">BB7+(BC3-AY3)</f>
        <v>#VALUE!</v>
      </c>
      <c r="BD7" s="173" t="e">
        <f t="shared" ca="1" si="9"/>
        <v>#VALUE!</v>
      </c>
      <c r="BE7" s="173" t="e">
        <f t="shared" ca="1" si="9"/>
        <v>#VALUE!</v>
      </c>
      <c r="BF7" s="173" t="e">
        <f t="shared" ca="1" si="9"/>
        <v>#VALUE!</v>
      </c>
      <c r="BG7" s="173" t="e">
        <f ca="1">BF7+(BG3-BC3)</f>
        <v>#VALUE!</v>
      </c>
      <c r="BH7" s="173" t="e">
        <f t="shared" ca="1" si="10"/>
        <v>#VALUE!</v>
      </c>
      <c r="BI7" s="173" t="e">
        <f t="shared" ca="1" si="10"/>
        <v>#VALUE!</v>
      </c>
      <c r="BJ7" s="173" t="e">
        <f t="shared" ca="1" si="10"/>
        <v>#VALUE!</v>
      </c>
      <c r="BK7" s="173" t="e">
        <f ca="1">BJ7+(BK3-BG3)</f>
        <v>#VALUE!</v>
      </c>
      <c r="BL7" s="173" t="e">
        <f t="shared" ca="1" si="11"/>
        <v>#VALUE!</v>
      </c>
      <c r="BM7" s="173" t="e">
        <f t="shared" ca="1" si="11"/>
        <v>#VALUE!</v>
      </c>
      <c r="BN7" s="173" t="e">
        <f t="shared" ca="1" si="11"/>
        <v>#VALUE!</v>
      </c>
      <c r="BO7" s="173" t="e">
        <f ca="1">BN7+(BO3-BK3)</f>
        <v>#VALUE!</v>
      </c>
      <c r="BP7" s="173" t="e">
        <f t="shared" ca="1" si="12"/>
        <v>#VALUE!</v>
      </c>
      <c r="BQ7" s="173" t="e">
        <f t="shared" ca="1" si="12"/>
        <v>#VALUE!</v>
      </c>
      <c r="BR7" s="173" t="e">
        <f t="shared" ca="1" si="12"/>
        <v>#VALUE!</v>
      </c>
      <c r="BS7" s="173" t="e">
        <f ca="1">BR7+(BS3-BO3)</f>
        <v>#VALUE!</v>
      </c>
      <c r="BT7" s="173" t="e">
        <f t="shared" ca="1" si="18"/>
        <v>#VALUE!</v>
      </c>
      <c r="BU7" s="173" t="e">
        <f t="shared" ca="1" si="18"/>
        <v>#VALUE!</v>
      </c>
      <c r="BV7" s="173" t="e">
        <f t="shared" ca="1" si="18"/>
        <v>#VALUE!</v>
      </c>
      <c r="BW7" s="173" t="e">
        <f ca="1">BV7+(BW3-BS3)</f>
        <v>#VALUE!</v>
      </c>
      <c r="BX7" s="173" t="e">
        <f t="shared" ca="1" si="13"/>
        <v>#VALUE!</v>
      </c>
      <c r="BY7" s="173" t="e">
        <f t="shared" ca="1" si="13"/>
        <v>#VALUE!</v>
      </c>
      <c r="BZ7" s="173" t="e">
        <f t="shared" ca="1" si="13"/>
        <v>#VALUE!</v>
      </c>
      <c r="CA7" s="173" t="e">
        <f ca="1">BZ7+(CA3-BW3)</f>
        <v>#VALUE!</v>
      </c>
      <c r="CB7" s="173" t="e">
        <f t="shared" ca="1" si="19"/>
        <v>#VALUE!</v>
      </c>
      <c r="CC7" s="173" t="e">
        <f t="shared" ca="1" si="19"/>
        <v>#VALUE!</v>
      </c>
      <c r="CD7" s="173" t="e">
        <f t="shared" ca="1" si="19"/>
        <v>#VALUE!</v>
      </c>
      <c r="CE7" s="162"/>
      <c r="CF7" s="94"/>
      <c r="CG7" s="94"/>
    </row>
    <row r="8" spans="1:85" ht="17.25" customHeight="1">
      <c r="A8" s="100" t="s">
        <v>357</v>
      </c>
      <c r="B8" s="115" t="str">
        <f>IF(ISBLANK(Accueil!E3),"",Accueil!E3)</f>
        <v/>
      </c>
      <c r="C8" s="91"/>
      <c r="D8" s="91"/>
      <c r="E8" s="94"/>
      <c r="F8" s="94" t="s">
        <v>112</v>
      </c>
      <c r="G8" s="94"/>
      <c r="H8" s="94"/>
      <c r="I8" s="94"/>
      <c r="J8" s="94"/>
      <c r="K8" s="94"/>
      <c r="L8" s="94"/>
      <c r="M8" s="94"/>
      <c r="N8" s="94"/>
      <c r="O8" s="94"/>
      <c r="P8" s="94"/>
      <c r="Q8" s="94"/>
      <c r="R8" s="94"/>
      <c r="S8" s="94"/>
      <c r="T8" s="94"/>
      <c r="U8" s="94"/>
      <c r="V8" s="94"/>
      <c r="W8" s="94"/>
      <c r="X8" s="94"/>
      <c r="Y8" s="94"/>
      <c r="Z8" s="171" t="s">
        <v>579</v>
      </c>
      <c r="AA8" s="174" t="e">
        <f>VLOOKUP(INT('IMC d''équilibre'!$D$5),'IMC d''équilibre'!$F:$K,6)*$B$7*$B$7</f>
        <v>#VALUE!</v>
      </c>
      <c r="AB8" s="175" t="e">
        <f t="shared" si="20"/>
        <v>#VALUE!</v>
      </c>
      <c r="AC8" s="175" t="e">
        <f t="shared" si="20"/>
        <v>#VALUE!</v>
      </c>
      <c r="AD8" s="175" t="e">
        <f t="shared" si="20"/>
        <v>#VALUE!</v>
      </c>
      <c r="AE8" s="174" t="e">
        <f>VLOOKUP(INT('IMC d''équilibre'!$D$5+1),'IMC d''équilibre'!$F:$K,6)*$B$7*$B$7</f>
        <v>#VALUE!</v>
      </c>
      <c r="AF8" s="175" t="e">
        <f t="shared" si="20"/>
        <v>#VALUE!</v>
      </c>
      <c r="AG8" s="175" t="e">
        <f t="shared" si="20"/>
        <v>#VALUE!</v>
      </c>
      <c r="AH8" s="175" t="e">
        <f t="shared" si="20"/>
        <v>#VALUE!</v>
      </c>
      <c r="AI8" s="174" t="e">
        <f>VLOOKUP(INT('IMC d''équilibre'!$D$5+2),'IMC d''équilibre'!$F:$K,6)*$B$7*$B$7</f>
        <v>#VALUE!</v>
      </c>
      <c r="AJ8" s="175" t="e">
        <f t="shared" si="20"/>
        <v>#VALUE!</v>
      </c>
      <c r="AK8" s="175" t="e">
        <f t="shared" si="20"/>
        <v>#VALUE!</v>
      </c>
      <c r="AL8" s="175" t="e">
        <f t="shared" si="20"/>
        <v>#VALUE!</v>
      </c>
      <c r="AM8" s="174" t="e">
        <f>VLOOKUP(INT('IMC d''équilibre'!$D$5+3),'IMC d''équilibre'!$F:$K,6)*$B$7*$B$7</f>
        <v>#VALUE!</v>
      </c>
      <c r="AN8" s="175" t="e">
        <f t="shared" si="20"/>
        <v>#VALUE!</v>
      </c>
      <c r="AO8" s="175" t="e">
        <f t="shared" si="20"/>
        <v>#VALUE!</v>
      </c>
      <c r="AP8" s="175" t="e">
        <f t="shared" si="20"/>
        <v>#VALUE!</v>
      </c>
      <c r="AQ8" s="174" t="e">
        <f>VLOOKUP(INT('IMC d''équilibre'!$D$5+4),'IMC d''équilibre'!$F:$K,6)*$B$7*$B$7</f>
        <v>#VALUE!</v>
      </c>
      <c r="AR8" s="175" t="e">
        <f t="shared" si="20"/>
        <v>#VALUE!</v>
      </c>
      <c r="AS8" s="175" t="e">
        <f t="shared" si="20"/>
        <v>#VALUE!</v>
      </c>
      <c r="AT8" s="175" t="e">
        <f t="shared" si="20"/>
        <v>#VALUE!</v>
      </c>
      <c r="AU8" s="174" t="e">
        <f>VLOOKUP(INT('IMC d''équilibre'!$D$5+5),'IMC d''équilibre'!$F:$K,6)*$B$7*$B$7</f>
        <v>#VALUE!</v>
      </c>
      <c r="AV8" s="175" t="e">
        <f>AU8</f>
        <v>#VALUE!</v>
      </c>
      <c r="AW8" s="175" t="e">
        <f t="shared" si="17"/>
        <v>#VALUE!</v>
      </c>
      <c r="AX8" s="175" t="e">
        <f t="shared" si="17"/>
        <v>#VALUE!</v>
      </c>
      <c r="AY8" s="174" t="e">
        <f>VLOOKUP(INT('IMC d''équilibre'!$D$5+6),'IMC d''équilibre'!$F:$K,6)*$B$7*$B$7</f>
        <v>#VALUE!</v>
      </c>
      <c r="AZ8" s="175" t="e">
        <f t="shared" si="8"/>
        <v>#VALUE!</v>
      </c>
      <c r="BA8" s="175" t="e">
        <f t="shared" si="8"/>
        <v>#VALUE!</v>
      </c>
      <c r="BB8" s="175" t="e">
        <f t="shared" si="8"/>
        <v>#VALUE!</v>
      </c>
      <c r="BC8" s="174" t="e">
        <f>VLOOKUP(INT('IMC d''équilibre'!$D$5+7),'IMC d''équilibre'!$F:$K,6)*$B$7*$B$7</f>
        <v>#VALUE!</v>
      </c>
      <c r="BD8" s="175" t="e">
        <f t="shared" si="9"/>
        <v>#VALUE!</v>
      </c>
      <c r="BE8" s="175" t="e">
        <f t="shared" si="9"/>
        <v>#VALUE!</v>
      </c>
      <c r="BF8" s="175" t="e">
        <f t="shared" si="9"/>
        <v>#VALUE!</v>
      </c>
      <c r="BG8" s="174" t="e">
        <f>VLOOKUP(INT('IMC d''équilibre'!$D$5+8),'IMC d''équilibre'!$F:$K,6)*$B$7*$B$7</f>
        <v>#VALUE!</v>
      </c>
      <c r="BH8" s="175" t="e">
        <f t="shared" si="10"/>
        <v>#VALUE!</v>
      </c>
      <c r="BI8" s="175" t="e">
        <f t="shared" si="10"/>
        <v>#VALUE!</v>
      </c>
      <c r="BJ8" s="175" t="e">
        <f t="shared" si="10"/>
        <v>#VALUE!</v>
      </c>
      <c r="BK8" s="174" t="e">
        <f>VLOOKUP(INT('IMC d''équilibre'!$D$5+9),'IMC d''équilibre'!$F:$K,6)*$B$7*$B$7</f>
        <v>#VALUE!</v>
      </c>
      <c r="BL8" s="175" t="e">
        <f t="shared" si="11"/>
        <v>#VALUE!</v>
      </c>
      <c r="BM8" s="175" t="e">
        <f t="shared" si="11"/>
        <v>#VALUE!</v>
      </c>
      <c r="BN8" s="175" t="e">
        <f t="shared" si="11"/>
        <v>#VALUE!</v>
      </c>
      <c r="BO8" s="174" t="e">
        <f>VLOOKUP(INT('IMC d''équilibre'!$D$5+10),'IMC d''équilibre'!$F:$K,6)*$B$7*$B$7</f>
        <v>#VALUE!</v>
      </c>
      <c r="BP8" s="175" t="e">
        <f t="shared" si="12"/>
        <v>#VALUE!</v>
      </c>
      <c r="BQ8" s="175" t="e">
        <f t="shared" si="12"/>
        <v>#VALUE!</v>
      </c>
      <c r="BR8" s="175" t="e">
        <f t="shared" si="12"/>
        <v>#VALUE!</v>
      </c>
      <c r="BS8" s="174" t="e">
        <f>VLOOKUP(INT('IMC d''équilibre'!$D$5+11),'IMC d''équilibre'!$F:$K,6)*$B$7*$B$7</f>
        <v>#VALUE!</v>
      </c>
      <c r="BT8" s="175" t="e">
        <f t="shared" si="18"/>
        <v>#VALUE!</v>
      </c>
      <c r="BU8" s="175" t="e">
        <f t="shared" si="18"/>
        <v>#VALUE!</v>
      </c>
      <c r="BV8" s="175" t="e">
        <f t="shared" si="18"/>
        <v>#VALUE!</v>
      </c>
      <c r="BW8" s="174" t="e">
        <f>VLOOKUP(INT('IMC d''équilibre'!$D$5+12),'IMC d''équilibre'!$F:$K,6)*$B$7*$B$7</f>
        <v>#VALUE!</v>
      </c>
      <c r="BX8" s="175" t="e">
        <f t="shared" si="13"/>
        <v>#VALUE!</v>
      </c>
      <c r="BY8" s="175" t="e">
        <f t="shared" si="13"/>
        <v>#VALUE!</v>
      </c>
      <c r="BZ8" s="175" t="e">
        <f t="shared" si="13"/>
        <v>#VALUE!</v>
      </c>
      <c r="CA8" s="174" t="e">
        <f>VLOOKUP(INT('IMC d''équilibre'!$D$5+13),'IMC d''équilibre'!$F:$K,6)*$B$7*$B$7</f>
        <v>#VALUE!</v>
      </c>
      <c r="CB8" s="175" t="e">
        <f t="shared" si="19"/>
        <v>#VALUE!</v>
      </c>
      <c r="CC8" s="175" t="e">
        <f t="shared" si="19"/>
        <v>#VALUE!</v>
      </c>
      <c r="CD8" s="175" t="e">
        <f t="shared" si="19"/>
        <v>#VALUE!</v>
      </c>
      <c r="CE8" s="162"/>
      <c r="CF8" s="94"/>
      <c r="CG8" s="94"/>
    </row>
    <row r="9" spans="1:85" ht="17.25" customHeight="1">
      <c r="A9" s="101" t="s">
        <v>356</v>
      </c>
      <c r="B9" s="337" t="str">
        <f>IF(ISBLANK(Accueil!G3),"",B8/(B7*B7))</f>
        <v/>
      </c>
      <c r="C9" s="91"/>
      <c r="D9" s="91"/>
      <c r="E9" s="94"/>
      <c r="F9" s="94"/>
      <c r="G9" s="94">
        <f>IF(ISBLANK(recueil!E5),"",(recueil!E5-1))</f>
        <v>-1</v>
      </c>
      <c r="H9" s="94"/>
      <c r="I9" s="91"/>
      <c r="J9" s="94"/>
      <c r="K9" s="94"/>
      <c r="L9" s="94"/>
      <c r="M9" s="94"/>
      <c r="N9" s="94"/>
      <c r="O9" s="94"/>
      <c r="P9" s="94"/>
      <c r="Q9" s="94"/>
      <c r="R9" s="94"/>
      <c r="S9" s="94"/>
      <c r="T9" s="94"/>
      <c r="U9" s="94"/>
      <c r="V9" s="94"/>
      <c r="W9" s="94"/>
      <c r="X9" s="94"/>
      <c r="Y9" s="94"/>
      <c r="Z9" s="171" t="s">
        <v>395</v>
      </c>
      <c r="AA9" s="174" t="e">
        <f>VLOOKUP(INT('IMC d''équilibre'!$D$5),'IMC d''équilibre'!$F:$I,4)*$B$7*$B$7</f>
        <v>#VALUE!</v>
      </c>
      <c r="AB9" s="175" t="e">
        <f t="shared" si="20"/>
        <v>#VALUE!</v>
      </c>
      <c r="AC9" s="175" t="e">
        <f t="shared" si="20"/>
        <v>#VALUE!</v>
      </c>
      <c r="AD9" s="175" t="e">
        <f t="shared" si="20"/>
        <v>#VALUE!</v>
      </c>
      <c r="AE9" s="174" t="e">
        <f>VLOOKUP(INT('IMC d''équilibre'!$D$5+1),'IMC d''équilibre'!$F:$J,4)*$B$7*$B$7</f>
        <v>#VALUE!</v>
      </c>
      <c r="AF9" s="175" t="e">
        <f t="shared" si="20"/>
        <v>#VALUE!</v>
      </c>
      <c r="AG9" s="175" t="e">
        <f t="shared" si="20"/>
        <v>#VALUE!</v>
      </c>
      <c r="AH9" s="175" t="e">
        <f t="shared" si="20"/>
        <v>#VALUE!</v>
      </c>
      <c r="AI9" s="174" t="e">
        <f>VLOOKUP(INT('IMC d''équilibre'!$D$5+2),'IMC d''équilibre'!$F:$I,4)*$B$7*$B$7</f>
        <v>#VALUE!</v>
      </c>
      <c r="AJ9" s="175" t="e">
        <f t="shared" si="20"/>
        <v>#VALUE!</v>
      </c>
      <c r="AK9" s="175" t="e">
        <f t="shared" si="20"/>
        <v>#VALUE!</v>
      </c>
      <c r="AL9" s="175" t="e">
        <f t="shared" si="20"/>
        <v>#VALUE!</v>
      </c>
      <c r="AM9" s="174" t="e">
        <f>VLOOKUP(INT('IMC d''équilibre'!$D$5+3),'IMC d''équilibre'!$F:$I,4)*$B$7*$B$7</f>
        <v>#VALUE!</v>
      </c>
      <c r="AN9" s="175" t="e">
        <f t="shared" si="20"/>
        <v>#VALUE!</v>
      </c>
      <c r="AO9" s="175" t="e">
        <f t="shared" si="20"/>
        <v>#VALUE!</v>
      </c>
      <c r="AP9" s="175" t="e">
        <f t="shared" si="20"/>
        <v>#VALUE!</v>
      </c>
      <c r="AQ9" s="174" t="e">
        <f>VLOOKUP(INT('IMC d''équilibre'!$D$5+4),'IMC d''équilibre'!$F:$I,4)*$B$7*$B$7</f>
        <v>#VALUE!</v>
      </c>
      <c r="AR9" s="175" t="e">
        <f t="shared" si="20"/>
        <v>#VALUE!</v>
      </c>
      <c r="AS9" s="175" t="e">
        <f t="shared" si="20"/>
        <v>#VALUE!</v>
      </c>
      <c r="AT9" s="175" t="e">
        <f t="shared" si="20"/>
        <v>#VALUE!</v>
      </c>
      <c r="AU9" s="174" t="e">
        <f>VLOOKUP(INT('IMC d''équilibre'!$D$5+5),'IMC d''équilibre'!$F:$I,4)*$B$7*$B$7</f>
        <v>#VALUE!</v>
      </c>
      <c r="AV9" s="175" t="e">
        <f>AU9</f>
        <v>#VALUE!</v>
      </c>
      <c r="AW9" s="175" t="e">
        <f t="shared" si="17"/>
        <v>#VALUE!</v>
      </c>
      <c r="AX9" s="175" t="e">
        <f t="shared" si="17"/>
        <v>#VALUE!</v>
      </c>
      <c r="AY9" s="174" t="e">
        <f>VLOOKUP(INT('IMC d''équilibre'!$D$5+6),'IMC d''équilibre'!$F:$I,4)*$B$7*$B$7</f>
        <v>#VALUE!</v>
      </c>
      <c r="AZ9" s="175" t="e">
        <f t="shared" si="8"/>
        <v>#VALUE!</v>
      </c>
      <c r="BA9" s="175" t="e">
        <f t="shared" si="8"/>
        <v>#VALUE!</v>
      </c>
      <c r="BB9" s="175" t="e">
        <f t="shared" si="8"/>
        <v>#VALUE!</v>
      </c>
      <c r="BC9" s="174" t="e">
        <f>VLOOKUP(INT('IMC d''équilibre'!$D$5+7),'IMC d''équilibre'!$F:$I,4)*$B$7*$B$7</f>
        <v>#VALUE!</v>
      </c>
      <c r="BD9" s="175" t="e">
        <f t="shared" si="9"/>
        <v>#VALUE!</v>
      </c>
      <c r="BE9" s="175" t="e">
        <f t="shared" si="9"/>
        <v>#VALUE!</v>
      </c>
      <c r="BF9" s="175" t="e">
        <f t="shared" si="9"/>
        <v>#VALUE!</v>
      </c>
      <c r="BG9" s="174" t="e">
        <f>VLOOKUP(INT('IMC d''équilibre'!$D$5+8),'IMC d''équilibre'!$F:$I,4)*$B$7*$B$7</f>
        <v>#VALUE!</v>
      </c>
      <c r="BH9" s="175" t="e">
        <f t="shared" si="10"/>
        <v>#VALUE!</v>
      </c>
      <c r="BI9" s="175" t="e">
        <f t="shared" si="10"/>
        <v>#VALUE!</v>
      </c>
      <c r="BJ9" s="175" t="e">
        <f t="shared" si="10"/>
        <v>#VALUE!</v>
      </c>
      <c r="BK9" s="174" t="e">
        <f>VLOOKUP(INT('IMC d''équilibre'!$D$5+9),'IMC d''équilibre'!$F:$I,4)*$B$7*$B$7</f>
        <v>#VALUE!</v>
      </c>
      <c r="BL9" s="175" t="e">
        <f t="shared" si="11"/>
        <v>#VALUE!</v>
      </c>
      <c r="BM9" s="175" t="e">
        <f t="shared" si="11"/>
        <v>#VALUE!</v>
      </c>
      <c r="BN9" s="175" t="e">
        <f t="shared" si="11"/>
        <v>#VALUE!</v>
      </c>
      <c r="BO9" s="174" t="e">
        <f>VLOOKUP(INT('IMC d''équilibre'!$D$5+10),'IMC d''équilibre'!$F:$I,4)*$B$7*$B$7</f>
        <v>#VALUE!</v>
      </c>
      <c r="BP9" s="175" t="e">
        <f t="shared" si="12"/>
        <v>#VALUE!</v>
      </c>
      <c r="BQ9" s="175" t="e">
        <f t="shared" si="12"/>
        <v>#VALUE!</v>
      </c>
      <c r="BR9" s="175" t="e">
        <f t="shared" si="12"/>
        <v>#VALUE!</v>
      </c>
      <c r="BS9" s="174" t="e">
        <f>VLOOKUP(INT('IMC d''équilibre'!$D$5+11),'IMC d''équilibre'!$F:$I,4)*$B$7*$B$7</f>
        <v>#VALUE!</v>
      </c>
      <c r="BT9" s="175" t="e">
        <f t="shared" si="18"/>
        <v>#VALUE!</v>
      </c>
      <c r="BU9" s="175" t="e">
        <f t="shared" si="18"/>
        <v>#VALUE!</v>
      </c>
      <c r="BV9" s="175" t="e">
        <f t="shared" si="18"/>
        <v>#VALUE!</v>
      </c>
      <c r="BW9" s="174" t="e">
        <f>VLOOKUP(INT('IMC d''équilibre'!$D$5+12),'IMC d''équilibre'!$F:$I,4)*$B$7*$B$7</f>
        <v>#VALUE!</v>
      </c>
      <c r="BX9" s="175" t="e">
        <f t="shared" si="13"/>
        <v>#VALUE!</v>
      </c>
      <c r="BY9" s="175" t="e">
        <f t="shared" si="13"/>
        <v>#VALUE!</v>
      </c>
      <c r="BZ9" s="175" t="e">
        <f t="shared" si="13"/>
        <v>#VALUE!</v>
      </c>
      <c r="CA9" s="174" t="e">
        <f>VLOOKUP(INT('IMC d''équilibre'!$D$5+13),'IMC d''équilibre'!$F:$I,4)*$B$7*$B$7</f>
        <v>#VALUE!</v>
      </c>
      <c r="CB9" s="175" t="e">
        <f t="shared" si="19"/>
        <v>#VALUE!</v>
      </c>
      <c r="CC9" s="175" t="e">
        <f t="shared" si="19"/>
        <v>#VALUE!</v>
      </c>
      <c r="CD9" s="175" t="e">
        <f t="shared" si="19"/>
        <v>#VALUE!</v>
      </c>
      <c r="CE9" s="162"/>
      <c r="CF9" s="94"/>
      <c r="CG9" s="94"/>
    </row>
    <row r="10" spans="1:85" ht="17.25" customHeight="1">
      <c r="A10" s="209" t="s">
        <v>421</v>
      </c>
      <c r="B10" s="116" t="str">
        <f>IF(ISBLANK(Accueil!E$3),"",'IMC d''équilibre'!D$12)</f>
        <v/>
      </c>
      <c r="C10" s="102"/>
      <c r="D10" s="91"/>
      <c r="E10" s="94"/>
      <c r="F10" s="94"/>
      <c r="G10" s="94"/>
      <c r="H10" s="94"/>
      <c r="I10" s="94"/>
      <c r="J10" s="94"/>
      <c r="K10" s="94"/>
      <c r="L10" s="94"/>
      <c r="M10" s="94"/>
      <c r="N10" s="94"/>
      <c r="O10" s="94"/>
      <c r="P10" s="94"/>
      <c r="Q10" s="94"/>
      <c r="R10" s="94"/>
      <c r="S10" s="94"/>
      <c r="T10" s="94"/>
      <c r="U10" s="94"/>
      <c r="V10" s="94"/>
      <c r="W10" s="94"/>
      <c r="X10" s="94"/>
      <c r="Y10" s="94"/>
      <c r="Z10" s="162"/>
      <c r="AA10" s="162"/>
      <c r="AB10" s="162"/>
      <c r="AC10" s="161"/>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94"/>
      <c r="CG10" s="94"/>
    </row>
    <row r="11" spans="1:85" ht="17.25" customHeight="1">
      <c r="A11" s="212" t="s">
        <v>744</v>
      </c>
      <c r="B11" s="116" t="str">
        <f>IF(ISBLANK(Accueil!G3),"",AA5)</f>
        <v/>
      </c>
      <c r="C11" s="102"/>
      <c r="D11" s="91"/>
      <c r="E11" s="94"/>
      <c r="F11" s="94"/>
      <c r="G11" s="94"/>
      <c r="H11" s="94"/>
      <c r="I11" s="94"/>
      <c r="J11" s="94"/>
      <c r="K11" s="94"/>
      <c r="L11" s="94"/>
      <c r="M11" s="94"/>
      <c r="N11" s="94"/>
      <c r="O11" s="94"/>
      <c r="P11" s="94"/>
      <c r="Q11" s="94"/>
      <c r="R11" s="94"/>
      <c r="S11" s="94"/>
      <c r="T11" s="94"/>
      <c r="U11" s="94"/>
      <c r="V11" s="94"/>
      <c r="W11" s="94"/>
      <c r="X11" s="94"/>
      <c r="Y11" s="94"/>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94"/>
      <c r="CG11" s="94"/>
    </row>
    <row r="12" spans="1:85" ht="17.25" customHeight="1">
      <c r="A12" s="212" t="s">
        <v>745</v>
      </c>
      <c r="B12" s="116" t="str">
        <f>IF(ISBLANK(Accueil!G3),"",AA8)</f>
        <v/>
      </c>
      <c r="C12" s="91"/>
      <c r="D12" s="91"/>
      <c r="E12" s="94"/>
      <c r="F12" s="94"/>
      <c r="G12" s="94"/>
      <c r="H12" s="94"/>
      <c r="I12" s="94"/>
      <c r="J12" s="94"/>
      <c r="K12" s="94"/>
      <c r="L12" s="94"/>
      <c r="M12" s="94"/>
      <c r="N12" s="94"/>
      <c r="O12" s="94"/>
      <c r="P12" s="94"/>
      <c r="Q12" s="94"/>
      <c r="R12" s="94"/>
      <c r="S12" s="94"/>
      <c r="T12" s="94"/>
      <c r="U12" s="94"/>
      <c r="V12" s="94"/>
      <c r="W12" s="94"/>
      <c r="X12" s="94"/>
      <c r="Y12" s="94"/>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94"/>
      <c r="CG12" s="94"/>
    </row>
    <row r="13" spans="1:85" ht="17.25" customHeight="1">
      <c r="A13" s="212" t="s">
        <v>790</v>
      </c>
      <c r="B13" s="116" t="str">
        <f>IF(ISBLANK(Accueil!G3),"",AA9)</f>
        <v/>
      </c>
      <c r="C13" s="91"/>
      <c r="D13" s="91"/>
      <c r="E13" s="94"/>
      <c r="F13" s="94"/>
      <c r="G13" s="94"/>
      <c r="H13" s="94"/>
      <c r="I13" s="94"/>
      <c r="J13" s="94"/>
      <c r="K13" s="94"/>
      <c r="L13" s="94"/>
      <c r="M13" s="94"/>
      <c r="N13" s="94"/>
      <c r="O13" s="94"/>
      <c r="P13" s="94"/>
      <c r="Q13" s="94"/>
      <c r="R13" s="94"/>
      <c r="S13" s="94"/>
      <c r="T13" s="94"/>
      <c r="U13" s="94"/>
      <c r="V13" s="94"/>
      <c r="W13" s="94"/>
      <c r="X13" s="94"/>
      <c r="Y13" s="94"/>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4"/>
      <c r="CF13" s="94"/>
      <c r="CG13" s="94"/>
    </row>
    <row r="14" spans="1:85" ht="17.25" customHeight="1">
      <c r="A14" s="210" t="s">
        <v>423</v>
      </c>
      <c r="B14" s="117" t="str">
        <f>IF(ISBLANK(Accueil!G3),"",AA6)</f>
        <v/>
      </c>
      <c r="C14" s="91"/>
      <c r="D14" s="91"/>
      <c r="E14" s="94"/>
      <c r="F14" s="94"/>
      <c r="G14" s="94"/>
      <c r="H14" s="94"/>
      <c r="I14" s="94"/>
      <c r="J14" s="94"/>
      <c r="K14" s="94"/>
      <c r="L14" s="94"/>
      <c r="M14" s="94"/>
      <c r="N14" s="94"/>
      <c r="O14" s="94"/>
      <c r="P14" s="94"/>
      <c r="Q14" s="94"/>
      <c r="R14" s="94"/>
      <c r="S14" s="94"/>
      <c r="T14" s="94"/>
      <c r="U14" s="94"/>
      <c r="V14" s="94"/>
      <c r="W14" s="94"/>
      <c r="X14" s="94"/>
      <c r="Y14" s="94"/>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4"/>
      <c r="CF14" s="94"/>
      <c r="CG14" s="94"/>
    </row>
    <row r="15" spans="1:85" ht="17.25" customHeight="1">
      <c r="A15" s="211" t="s">
        <v>424</v>
      </c>
      <c r="B15" s="118" t="str">
        <f>IF(ISBLANK(Accueil!G3),"",AA7)</f>
        <v/>
      </c>
      <c r="C15" s="91"/>
      <c r="D15" s="91"/>
      <c r="E15" s="94"/>
      <c r="F15" s="94"/>
      <c r="G15" s="94"/>
      <c r="H15" s="94"/>
      <c r="I15" s="94"/>
      <c r="J15" s="94"/>
      <c r="K15" s="94"/>
      <c r="L15" s="94"/>
      <c r="M15" s="94"/>
      <c r="N15" s="94"/>
      <c r="O15" s="94"/>
      <c r="P15" s="94"/>
      <c r="Q15" s="94"/>
      <c r="R15" s="94"/>
      <c r="S15" s="94"/>
      <c r="T15" s="94"/>
      <c r="U15" s="94"/>
      <c r="V15" s="94"/>
      <c r="W15" s="94"/>
      <c r="X15" s="94"/>
      <c r="Y15" s="94"/>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4"/>
      <c r="CF15" s="94"/>
      <c r="CG15" s="94"/>
    </row>
    <row r="16" spans="1:85" ht="31.5" customHeight="1">
      <c r="C16" s="91"/>
      <c r="D16" s="91"/>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row>
    <row r="17" spans="1:85" ht="8.25" customHeight="1">
      <c r="A17" s="505" t="s">
        <v>793</v>
      </c>
      <c r="B17" s="506"/>
      <c r="C17" s="91"/>
      <c r="D17" s="91"/>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row>
    <row r="18" spans="1:85" ht="9" customHeight="1">
      <c r="A18" s="507"/>
      <c r="B18" s="508"/>
      <c r="C18" s="91"/>
      <c r="D18" s="91"/>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row>
    <row r="19" spans="1:85" ht="14.25" customHeight="1">
      <c r="A19" s="103" t="s">
        <v>791</v>
      </c>
      <c r="B19" s="104"/>
      <c r="D19" s="91"/>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row>
    <row r="20" spans="1:85" ht="14.25" customHeight="1">
      <c r="A20" s="503">
        <v>40</v>
      </c>
      <c r="B20" s="104"/>
      <c r="C20" s="105"/>
      <c r="D20" s="91"/>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row>
    <row r="21" spans="1:85" ht="14.25" customHeight="1">
      <c r="A21" s="504"/>
      <c r="B21" s="104"/>
      <c r="C21" s="91"/>
      <c r="D21" s="91"/>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row>
    <row r="22" spans="1:85" ht="14.25" customHeight="1">
      <c r="A22" s="106" t="s">
        <v>792</v>
      </c>
      <c r="B22" s="107"/>
      <c r="C22" s="91"/>
      <c r="D22" s="91"/>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row>
    <row r="23" spans="1:85" ht="14.25" customHeight="1">
      <c r="A23" s="503">
        <v>96</v>
      </c>
      <c r="B23" s="104"/>
      <c r="C23" s="91"/>
      <c r="D23" s="91"/>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row>
    <row r="24" spans="1:85" ht="14.25" customHeight="1">
      <c r="A24" s="504"/>
      <c r="B24" s="108"/>
      <c r="C24" s="91"/>
      <c r="D24" s="91"/>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row>
    <row r="25" spans="1:85" ht="14.25" customHeight="1">
      <c r="A25" s="119"/>
      <c r="B25" s="107"/>
      <c r="C25" s="91"/>
      <c r="D25" s="91"/>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row>
    <row r="26" spans="1:85">
      <c r="A26" s="109"/>
      <c r="B26" s="104"/>
      <c r="C26" s="91"/>
      <c r="D26" s="91"/>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row>
    <row r="27" spans="1:85">
      <c r="A27" s="109"/>
      <c r="B27" s="104"/>
      <c r="C27" s="91"/>
      <c r="D27" s="91"/>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row>
    <row r="28" spans="1:85">
      <c r="A28" s="109"/>
      <c r="B28" s="104"/>
      <c r="C28" s="91"/>
      <c r="D28" s="91"/>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row>
    <row r="29" spans="1:85">
      <c r="A29" s="109"/>
      <c r="B29" s="104"/>
      <c r="C29" s="91"/>
      <c r="D29" s="91"/>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row>
    <row r="30" spans="1:85">
      <c r="A30" s="109"/>
      <c r="C30" s="91"/>
      <c r="D30" s="91"/>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4"/>
      <c r="BW30" s="94"/>
      <c r="BX30" s="94"/>
      <c r="BY30" s="94"/>
      <c r="BZ30" s="94"/>
      <c r="CA30" s="94"/>
      <c r="CB30" s="94"/>
      <c r="CC30" s="94"/>
      <c r="CD30" s="94"/>
      <c r="CE30" s="94"/>
      <c r="CF30" s="94"/>
      <c r="CG30" s="94"/>
    </row>
    <row r="31" spans="1:85">
      <c r="C31" s="91"/>
      <c r="D31" s="91"/>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row>
    <row r="32" spans="1:85">
      <c r="C32" s="91"/>
      <c r="D32" s="91"/>
      <c r="E32" s="94"/>
      <c r="F32" s="94"/>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row>
    <row r="33" spans="3:85">
      <c r="C33" s="91"/>
      <c r="D33" s="91"/>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row>
    <row r="34" spans="3:85">
      <c r="C34" s="91"/>
      <c r="D34" s="91"/>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94"/>
      <c r="CC34" s="94"/>
      <c r="CD34" s="94"/>
      <c r="CE34" s="94"/>
      <c r="CF34" s="94"/>
      <c r="CG34" s="94"/>
    </row>
    <row r="35" spans="3:85">
      <c r="C35" s="91"/>
      <c r="D35" s="91"/>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row>
    <row r="36" spans="3:85">
      <c r="C36" s="91"/>
      <c r="D36" s="91"/>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row>
    <row r="37" spans="3:85">
      <c r="C37" s="91"/>
      <c r="D37" s="91"/>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94"/>
      <c r="CC37" s="94"/>
      <c r="CD37" s="94"/>
      <c r="CE37" s="94"/>
      <c r="CF37" s="94"/>
      <c r="CG37" s="94"/>
    </row>
    <row r="38" spans="3:85">
      <c r="C38" s="91"/>
      <c r="D38" s="91"/>
      <c r="E38" s="94"/>
      <c r="F38" s="94"/>
      <c r="G38" s="110"/>
      <c r="H38" s="110"/>
      <c r="I38" s="110"/>
      <c r="J38" s="110"/>
      <c r="K38" s="110"/>
      <c r="L38" s="110"/>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94"/>
      <c r="CC38" s="94"/>
      <c r="CD38" s="94"/>
      <c r="CE38" s="94"/>
      <c r="CF38" s="94"/>
      <c r="CG38" s="94"/>
    </row>
    <row r="39" spans="3:85">
      <c r="C39" s="91"/>
      <c r="D39" s="91"/>
      <c r="E39" s="94"/>
      <c r="F39" s="94"/>
      <c r="G39" s="110"/>
      <c r="H39" s="110"/>
      <c r="I39" s="144"/>
      <c r="J39" s="144"/>
      <c r="K39" s="144"/>
      <c r="L39" s="144"/>
      <c r="M39" s="14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row>
    <row r="40" spans="3:85" ht="19.5" customHeight="1">
      <c r="C40" s="91"/>
      <c r="D40" s="91"/>
      <c r="E40" s="94"/>
      <c r="F40" s="94"/>
      <c r="G40" s="110"/>
      <c r="H40" s="111"/>
      <c r="I40" s="145"/>
      <c r="J40" s="146">
        <f>A4</f>
        <v>0</v>
      </c>
      <c r="K40" s="144"/>
      <c r="L40" s="144"/>
      <c r="M40" s="14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row>
    <row r="41" spans="3:85" ht="19.5" customHeight="1">
      <c r="C41" s="91"/>
      <c r="D41" s="91"/>
      <c r="E41" s="94"/>
      <c r="F41" s="94"/>
      <c r="G41" s="110"/>
      <c r="H41" s="110"/>
      <c r="I41" s="145"/>
      <c r="J41" s="146" t="str">
        <f>A2</f>
        <v xml:space="preserve"> </v>
      </c>
      <c r="K41" s="147"/>
      <c r="L41" s="147"/>
      <c r="M41" s="144"/>
      <c r="N41" s="94"/>
      <c r="O41" s="94"/>
      <c r="P41" s="94"/>
      <c r="Q41" s="94"/>
      <c r="R41" s="94"/>
      <c r="S41" s="94"/>
      <c r="T41" s="94"/>
      <c r="U41" s="94"/>
      <c r="V41" s="94"/>
      <c r="W41" s="94"/>
      <c r="X41" s="94"/>
      <c r="Y41" s="94"/>
      <c r="CE41" s="94"/>
      <c r="CF41" s="94"/>
      <c r="CG41" s="94"/>
    </row>
    <row r="42" spans="3:85">
      <c r="I42" s="148"/>
      <c r="J42" s="148"/>
      <c r="K42" s="148"/>
      <c r="L42" s="148"/>
      <c r="M42" s="148"/>
    </row>
    <row r="43" spans="3:85">
      <c r="I43" s="148"/>
      <c r="J43" s="148"/>
      <c r="K43" s="148"/>
      <c r="L43" s="148"/>
      <c r="M43" s="148"/>
    </row>
    <row r="44" spans="3:85">
      <c r="I44" s="148"/>
      <c r="J44" s="148"/>
      <c r="K44" s="148"/>
      <c r="L44" s="148"/>
      <c r="M44" s="148"/>
    </row>
    <row r="45" spans="3:85">
      <c r="I45" s="148"/>
      <c r="J45" s="148"/>
      <c r="K45" s="148"/>
      <c r="L45" s="148"/>
      <c r="M45" s="148"/>
    </row>
  </sheetData>
  <sheetProtection selectLockedCells="1"/>
  <protectedRanges>
    <protectedRange sqref="A1 A3 A5 D2 A7:A11 B9:B10" name="Plage1"/>
  </protectedRanges>
  <mergeCells count="3">
    <mergeCell ref="A20:A21"/>
    <mergeCell ref="A23:A24"/>
    <mergeCell ref="A17:B18"/>
  </mergeCells>
  <phoneticPr fontId="7" type="noConversion"/>
  <pageMargins left="1" right="0" top="1" bottom="1" header="0.5" footer="0.5"/>
  <pageSetup paperSize="9" scale="98" orientation="landscape" horizontalDpi="4294967293" verticalDpi="360" r:id="rId1"/>
  <headerFooter alignWithMargins="0"/>
  <ignoredErrors>
    <ignoredError sqref="AA10:CA10" formula="1"/>
    <ignoredError sqref="AA3:CA9" evalError="1" formula="1"/>
    <ignoredError sqref="CB3:CD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5132" r:id="rId4" name="Button 12">
              <controlPr defaultSize="0" print="0" autoFill="0" autoPict="0" macro="[0]!Accueil">
                <anchor moveWithCells="1" sizeWithCells="1">
                  <from>
                    <xdr:col>1</xdr:col>
                    <xdr:colOff>38100</xdr:colOff>
                    <xdr:row>0</xdr:row>
                    <xdr:rowOff>38100</xdr:rowOff>
                  </from>
                  <to>
                    <xdr:col>1</xdr:col>
                    <xdr:colOff>1362075</xdr:colOff>
                    <xdr:row>5</xdr:row>
                    <xdr:rowOff>180975</xdr:rowOff>
                  </to>
                </anchor>
              </controlPr>
            </control>
          </mc:Choice>
        </mc:AlternateContent>
        <mc:AlternateContent xmlns:mc="http://schemas.openxmlformats.org/markup-compatibility/2006">
          <mc:Choice Requires="x14">
            <control shapeId="5139" r:id="rId5" name="Button 19">
              <controlPr defaultSize="0" print="0" autoFill="0" autoPict="0" macro="[0]!SuiviIntra">
                <anchor moveWithCells="1" sizeWithCells="1">
                  <from>
                    <xdr:col>0</xdr:col>
                    <xdr:colOff>28575</xdr:colOff>
                    <xdr:row>15</xdr:row>
                    <xdr:rowOff>28575</xdr:rowOff>
                  </from>
                  <to>
                    <xdr:col>2</xdr:col>
                    <xdr:colOff>0</xdr:colOff>
                    <xdr:row>15</xdr:row>
                    <xdr:rowOff>381000</xdr:rowOff>
                  </to>
                </anchor>
              </controlPr>
            </control>
          </mc:Choice>
        </mc:AlternateContent>
        <mc:AlternateContent xmlns:mc="http://schemas.openxmlformats.org/markup-compatibility/2006">
          <mc:Choice Requires="x14">
            <control shapeId="5161" r:id="rId6" name="Button 41">
              <controlPr defaultSize="0" print="0" autoFill="0" autoPict="0" macro="[0]!Limites">
                <anchor moveWithCells="1">
                  <from>
                    <xdr:col>0</xdr:col>
                    <xdr:colOff>200025</xdr:colOff>
                    <xdr:row>24</xdr:row>
                    <xdr:rowOff>152400</xdr:rowOff>
                  </from>
                  <to>
                    <xdr:col>1</xdr:col>
                    <xdr:colOff>981075</xdr:colOff>
                    <xdr:row>26</xdr:row>
                    <xdr:rowOff>152400</xdr:rowOff>
                  </to>
                </anchor>
              </controlPr>
            </control>
          </mc:Choice>
        </mc:AlternateContent>
        <mc:AlternateContent xmlns:mc="http://schemas.openxmlformats.org/markup-compatibility/2006">
          <mc:Choice Requires="x14">
            <control shapeId="5170" r:id="rId7" name="Spinner 50">
              <controlPr defaultSize="0" autoPict="0">
                <anchor moveWithCells="1" sizeWithCells="1">
                  <from>
                    <xdr:col>1</xdr:col>
                    <xdr:colOff>180975</xdr:colOff>
                    <xdr:row>18</xdr:row>
                    <xdr:rowOff>47625</xdr:rowOff>
                  </from>
                  <to>
                    <xdr:col>1</xdr:col>
                    <xdr:colOff>523875</xdr:colOff>
                    <xdr:row>20</xdr:row>
                    <xdr:rowOff>104775</xdr:rowOff>
                  </to>
                </anchor>
              </controlPr>
            </control>
          </mc:Choice>
        </mc:AlternateContent>
        <mc:AlternateContent xmlns:mc="http://schemas.openxmlformats.org/markup-compatibility/2006">
          <mc:Choice Requires="x14">
            <control shapeId="5175" r:id="rId8" name="Spinner 55">
              <controlPr defaultSize="0" autoPict="0">
                <anchor moveWithCells="1" sizeWithCells="1">
                  <from>
                    <xdr:col>1</xdr:col>
                    <xdr:colOff>180975</xdr:colOff>
                    <xdr:row>21</xdr:row>
                    <xdr:rowOff>47625</xdr:rowOff>
                  </from>
                  <to>
                    <xdr:col>1</xdr:col>
                    <xdr:colOff>523875</xdr:colOff>
                    <xdr:row>23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30</vt:i4>
      </vt:variant>
      <vt:variant>
        <vt:lpstr>Plages nommées</vt:lpstr>
      </vt:variant>
      <vt:variant>
        <vt:i4>3</vt:i4>
      </vt:variant>
    </vt:vector>
  </HeadingPairs>
  <TitlesOfParts>
    <vt:vector size="33" baseType="lpstr">
      <vt:lpstr>Accueil</vt:lpstr>
      <vt:lpstr>socio</vt:lpstr>
      <vt:lpstr>TestsAN</vt:lpstr>
      <vt:lpstr>TestsBN</vt:lpstr>
      <vt:lpstr>Facteurs</vt:lpstr>
      <vt:lpstr>RAADS</vt:lpstr>
      <vt:lpstr>GraphTCA</vt:lpstr>
      <vt:lpstr>Incidence</vt:lpstr>
      <vt:lpstr>Courbe In</vt:lpstr>
      <vt:lpstr>GraphIMC</vt:lpstr>
      <vt:lpstr>Courbe IMC</vt:lpstr>
      <vt:lpstr>Synthèse</vt:lpstr>
      <vt:lpstr>recueil</vt:lpstr>
      <vt:lpstr>Archive1</vt:lpstr>
      <vt:lpstr>Archive2</vt:lpstr>
      <vt:lpstr>Archive3</vt:lpstr>
      <vt:lpstr>Archive4</vt:lpstr>
      <vt:lpstr>Archive5</vt:lpstr>
      <vt:lpstr>listes</vt:lpstr>
      <vt:lpstr>IMC d'équilibre</vt:lpstr>
      <vt:lpstr>crises</vt:lpstr>
      <vt:lpstr>Genogramme</vt:lpstr>
      <vt:lpstr>SilhouettesF</vt:lpstr>
      <vt:lpstr>SilhouettesH</vt:lpstr>
      <vt:lpstr>SilhFilles</vt:lpstr>
      <vt:lpstr>SilhGarcons</vt:lpstr>
      <vt:lpstr>Feuil1</vt:lpstr>
      <vt:lpstr>Saisie Pds</vt:lpstr>
      <vt:lpstr>IDC</vt:lpstr>
      <vt:lpstr>Graph IDC</vt:lpstr>
      <vt:lpstr>'Courbe In'!Print_Area</vt:lpstr>
      <vt:lpstr>Feuil1!Print_Area</vt:lpstr>
      <vt:lpstr>Genogramme!Print_Area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Alain Perroud</dc:creator>
  <cp:keywords/>
  <dc:description/>
  <cp:lastModifiedBy>Alain Perroud</cp:lastModifiedBy>
  <cp:lastPrinted>2018-09-17T10:58:26Z</cp:lastPrinted>
  <dcterms:created xsi:type="dcterms:W3CDTF">2006-05-27T16:19:29Z</dcterms:created>
  <dcterms:modified xsi:type="dcterms:W3CDTF">2024-02-15T19:10:44Z</dcterms:modified>
  <cp:category/>
</cp:coreProperties>
</file>